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Barcode</t>
        </is>
      </c>
      <c r="AV1" t="inlineStr">
        <is>
          <t>SCS Item ID</t>
        </is>
      </c>
    </row>
    <row r="2">
      <c r="A2" t="inlineStr">
        <is>
          <t>No</t>
        </is>
      </c>
      <c r="B2" t="inlineStr">
        <is>
          <t>R111 .N58</t>
        </is>
      </c>
      <c r="C2" t="inlineStr">
        <is>
          <t>0                      R  0111000N  58</t>
        </is>
      </c>
      <c r="D2" t="inlineStr">
        <is>
          <t>Physiology or medicine.</t>
        </is>
      </c>
      <c r="E2" t="inlineStr">
        <is>
          <t>V. 1</t>
        </is>
      </c>
      <c r="F2" t="inlineStr">
        <is>
          <t>Yes</t>
        </is>
      </c>
      <c r="G2" t="inlineStr">
        <is>
          <t>1</t>
        </is>
      </c>
      <c r="H2" t="inlineStr">
        <is>
          <t>Yes</t>
        </is>
      </c>
      <c r="I2" t="inlineStr">
        <is>
          <t>No</t>
        </is>
      </c>
      <c r="J2" t="inlineStr">
        <is>
          <t>0</t>
        </is>
      </c>
      <c r="K2" t="inlineStr">
        <is>
          <t>Nobelstiftelsen.</t>
        </is>
      </c>
      <c r="L2" t="inlineStr">
        <is>
          <t>Amsterdam ; New York : Published for the Nobel Foundation by Elsevier Pub. Co., 1964-</t>
        </is>
      </c>
      <c r="M2" t="inlineStr">
        <is>
          <t>1964</t>
        </is>
      </c>
      <c r="O2" t="inlineStr">
        <is>
          <t>eng</t>
        </is>
      </c>
      <c r="P2" t="inlineStr">
        <is>
          <t xml:space="preserve">ne </t>
        </is>
      </c>
      <c r="Q2" t="inlineStr">
        <is>
          <t>Nobel lectures, including presentation speeches and laureates' biographies</t>
        </is>
      </c>
      <c r="R2" t="inlineStr">
        <is>
          <t xml:space="preserve">R  </t>
        </is>
      </c>
      <c r="S2" t="n">
        <v>0</v>
      </c>
      <c r="T2" t="n">
        <v>3</v>
      </c>
      <c r="V2" t="inlineStr">
        <is>
          <t>2010-12-21</t>
        </is>
      </c>
      <c r="W2" t="inlineStr">
        <is>
          <t>2000-02-02</t>
        </is>
      </c>
      <c r="X2" t="inlineStr">
        <is>
          <t>2000-02-02</t>
        </is>
      </c>
      <c r="Y2" t="n">
        <v>434</v>
      </c>
      <c r="Z2" t="n">
        <v>387</v>
      </c>
      <c r="AA2" t="n">
        <v>402</v>
      </c>
      <c r="AB2" t="n">
        <v>5</v>
      </c>
      <c r="AC2" t="n">
        <v>5</v>
      </c>
      <c r="AD2" t="n">
        <v>20</v>
      </c>
      <c r="AE2" t="n">
        <v>21</v>
      </c>
      <c r="AF2" t="n">
        <v>5</v>
      </c>
      <c r="AG2" t="n">
        <v>5</v>
      </c>
      <c r="AH2" t="n">
        <v>3</v>
      </c>
      <c r="AI2" t="n">
        <v>4</v>
      </c>
      <c r="AJ2" t="n">
        <v>12</v>
      </c>
      <c r="AK2" t="n">
        <v>13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HYPERLINK("http://catalog.hathitrust.org/Record/000314341","HathiTrust Record")</f>
        <v/>
      </c>
      <c r="AS2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2">
        <f>HYPERLINK("http://www.worldcat.org/oclc/8168727","WorldCat Record")</f>
        <v/>
      </c>
      <c r="AU2" t="inlineStr">
        <is>
          <t>32285005554455</t>
        </is>
      </c>
      <c r="AV2" t="inlineStr">
        <is>
          <t>893701415</t>
        </is>
      </c>
    </row>
    <row r="3">
      <c r="A3" t="inlineStr">
        <is>
          <t>No</t>
        </is>
      </c>
      <c r="B3" t="inlineStr">
        <is>
          <t>R111 .N58</t>
        </is>
      </c>
      <c r="C3" t="inlineStr">
        <is>
          <t>0                      R  0111000N  58</t>
        </is>
      </c>
      <c r="D3" t="inlineStr">
        <is>
          <t>Physiology or medicine.</t>
        </is>
      </c>
      <c r="E3" t="inlineStr">
        <is>
          <t>V. 2</t>
        </is>
      </c>
      <c r="F3" t="inlineStr">
        <is>
          <t>Yes</t>
        </is>
      </c>
      <c r="G3" t="inlineStr">
        <is>
          <t>1</t>
        </is>
      </c>
      <c r="H3" t="inlineStr">
        <is>
          <t>Yes</t>
        </is>
      </c>
      <c r="I3" t="inlineStr">
        <is>
          <t>No</t>
        </is>
      </c>
      <c r="J3" t="inlineStr">
        <is>
          <t>0</t>
        </is>
      </c>
      <c r="K3" t="inlineStr">
        <is>
          <t>Nobelstiftelsen.</t>
        </is>
      </c>
      <c r="L3" t="inlineStr">
        <is>
          <t>Amsterdam ; New York : Published for the Nobel Foundation by Elsevier Pub. Co., 1964-</t>
        </is>
      </c>
      <c r="M3" t="inlineStr">
        <is>
          <t>1964</t>
        </is>
      </c>
      <c r="O3" t="inlineStr">
        <is>
          <t>eng</t>
        </is>
      </c>
      <c r="P3" t="inlineStr">
        <is>
          <t xml:space="preserve">ne </t>
        </is>
      </c>
      <c r="Q3" t="inlineStr">
        <is>
          <t>Nobel lectures, including presentation speeches and laureates' biographies</t>
        </is>
      </c>
      <c r="R3" t="inlineStr">
        <is>
          <t xml:space="preserve">R  </t>
        </is>
      </c>
      <c r="S3" t="n">
        <v>0</v>
      </c>
      <c r="T3" t="n">
        <v>3</v>
      </c>
      <c r="V3" t="inlineStr">
        <is>
          <t>2010-12-21</t>
        </is>
      </c>
      <c r="W3" t="inlineStr">
        <is>
          <t>2000-02-02</t>
        </is>
      </c>
      <c r="X3" t="inlineStr">
        <is>
          <t>2000-02-02</t>
        </is>
      </c>
      <c r="Y3" t="n">
        <v>434</v>
      </c>
      <c r="Z3" t="n">
        <v>387</v>
      </c>
      <c r="AA3" t="n">
        <v>402</v>
      </c>
      <c r="AB3" t="n">
        <v>5</v>
      </c>
      <c r="AC3" t="n">
        <v>5</v>
      </c>
      <c r="AD3" t="n">
        <v>20</v>
      </c>
      <c r="AE3" t="n">
        <v>21</v>
      </c>
      <c r="AF3" t="n">
        <v>5</v>
      </c>
      <c r="AG3" t="n">
        <v>5</v>
      </c>
      <c r="AH3" t="n">
        <v>3</v>
      </c>
      <c r="AI3" t="n">
        <v>4</v>
      </c>
      <c r="AJ3" t="n">
        <v>12</v>
      </c>
      <c r="AK3" t="n">
        <v>13</v>
      </c>
      <c r="AL3" t="n">
        <v>3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HYPERLINK("http://catalog.hathitrust.org/Record/000314341","HathiTrust Record")</f>
        <v/>
      </c>
      <c r="AS3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">
        <f>HYPERLINK("http://www.worldcat.org/oclc/8168727","WorldCat Record")</f>
        <v/>
      </c>
      <c r="AU3" t="inlineStr">
        <is>
          <t>32285002393683</t>
        </is>
      </c>
      <c r="AV3" t="inlineStr">
        <is>
          <t>893616140</t>
        </is>
      </c>
    </row>
    <row r="4">
      <c r="A4" t="inlineStr">
        <is>
          <t>No</t>
        </is>
      </c>
      <c r="B4" t="inlineStr">
        <is>
          <t>R111 .N58</t>
        </is>
      </c>
      <c r="C4" t="inlineStr">
        <is>
          <t>0                      R  0111000N  58</t>
        </is>
      </c>
      <c r="D4" t="inlineStr">
        <is>
          <t>Physiology or medicine.</t>
        </is>
      </c>
      <c r="E4" t="inlineStr">
        <is>
          <t>V. 3</t>
        </is>
      </c>
      <c r="F4" t="inlineStr">
        <is>
          <t>Yes</t>
        </is>
      </c>
      <c r="G4" t="inlineStr">
        <is>
          <t>1</t>
        </is>
      </c>
      <c r="H4" t="inlineStr">
        <is>
          <t>Yes</t>
        </is>
      </c>
      <c r="I4" t="inlineStr">
        <is>
          <t>No</t>
        </is>
      </c>
      <c r="J4" t="inlineStr">
        <is>
          <t>0</t>
        </is>
      </c>
      <c r="K4" t="inlineStr">
        <is>
          <t>Nobelstiftelsen.</t>
        </is>
      </c>
      <c r="L4" t="inlineStr">
        <is>
          <t>Amsterdam ; New York : Published for the Nobel Foundation by Elsevier Pub. Co., 1964-</t>
        </is>
      </c>
      <c r="M4" t="inlineStr">
        <is>
          <t>1964</t>
        </is>
      </c>
      <c r="O4" t="inlineStr">
        <is>
          <t>eng</t>
        </is>
      </c>
      <c r="P4" t="inlineStr">
        <is>
          <t xml:space="preserve">ne </t>
        </is>
      </c>
      <c r="Q4" t="inlineStr">
        <is>
          <t>Nobel lectures, including presentation speeches and laureates' biographies</t>
        </is>
      </c>
      <c r="R4" t="inlineStr">
        <is>
          <t xml:space="preserve">R  </t>
        </is>
      </c>
      <c r="S4" t="n">
        <v>0</v>
      </c>
      <c r="T4" t="n">
        <v>3</v>
      </c>
      <c r="V4" t="inlineStr">
        <is>
          <t>2010-12-21</t>
        </is>
      </c>
      <c r="W4" t="inlineStr">
        <is>
          <t>2000-02-02</t>
        </is>
      </c>
      <c r="X4" t="inlineStr">
        <is>
          <t>2000-02-02</t>
        </is>
      </c>
      <c r="Y4" t="n">
        <v>434</v>
      </c>
      <c r="Z4" t="n">
        <v>387</v>
      </c>
      <c r="AA4" t="n">
        <v>402</v>
      </c>
      <c r="AB4" t="n">
        <v>5</v>
      </c>
      <c r="AC4" t="n">
        <v>5</v>
      </c>
      <c r="AD4" t="n">
        <v>20</v>
      </c>
      <c r="AE4" t="n">
        <v>21</v>
      </c>
      <c r="AF4" t="n">
        <v>5</v>
      </c>
      <c r="AG4" t="n">
        <v>5</v>
      </c>
      <c r="AH4" t="n">
        <v>3</v>
      </c>
      <c r="AI4" t="n">
        <v>4</v>
      </c>
      <c r="AJ4" t="n">
        <v>12</v>
      </c>
      <c r="AK4" t="n">
        <v>13</v>
      </c>
      <c r="AL4" t="n">
        <v>3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HYPERLINK("http://catalog.hathitrust.org/Record/000314341","HathiTrust Record")</f>
        <v/>
      </c>
      <c r="AS4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4">
        <f>HYPERLINK("http://www.worldcat.org/oclc/8168727","WorldCat Record")</f>
        <v/>
      </c>
      <c r="AU4" t="inlineStr">
        <is>
          <t>32285001547917</t>
        </is>
      </c>
      <c r="AV4" t="inlineStr">
        <is>
          <t>893801912</t>
        </is>
      </c>
    </row>
    <row r="5">
      <c r="A5" t="inlineStr">
        <is>
          <t>No</t>
        </is>
      </c>
      <c r="B5" t="inlineStr">
        <is>
          <t>R117 .M392 1968</t>
        </is>
      </c>
      <c r="C5" t="inlineStr">
        <is>
          <t>0                      R  0117000M  392         1968</t>
        </is>
      </c>
      <c r="D5" t="inlineStr">
        <is>
          <t>Medicine, science, and culture; historical essays in honor of Owsei Temkin / edited by Lloyd G. Stevenson and Robert P. Multhauf.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Baltimore : Johns Hopkins Press, c1968.</t>
        </is>
      </c>
      <c r="M5" t="inlineStr">
        <is>
          <t>1968</t>
        </is>
      </c>
      <c r="O5" t="inlineStr">
        <is>
          <t>eng</t>
        </is>
      </c>
      <c r="P5" t="inlineStr">
        <is>
          <t>mdu</t>
        </is>
      </c>
      <c r="R5" t="inlineStr">
        <is>
          <t xml:space="preserve">R  </t>
        </is>
      </c>
      <c r="S5" t="n">
        <v>6</v>
      </c>
      <c r="T5" t="n">
        <v>6</v>
      </c>
      <c r="U5" t="inlineStr">
        <is>
          <t>1995-04-17</t>
        </is>
      </c>
      <c r="V5" t="inlineStr">
        <is>
          <t>1995-04-17</t>
        </is>
      </c>
      <c r="W5" t="inlineStr">
        <is>
          <t>1993-03-05</t>
        </is>
      </c>
      <c r="X5" t="inlineStr">
        <is>
          <t>1993-03-05</t>
        </is>
      </c>
      <c r="Y5" t="n">
        <v>377</v>
      </c>
      <c r="Z5" t="n">
        <v>307</v>
      </c>
      <c r="AA5" t="n">
        <v>308</v>
      </c>
      <c r="AB5" t="n">
        <v>6</v>
      </c>
      <c r="AC5" t="n">
        <v>6</v>
      </c>
      <c r="AD5" t="n">
        <v>13</v>
      </c>
      <c r="AE5" t="n">
        <v>13</v>
      </c>
      <c r="AF5" t="n">
        <v>3</v>
      </c>
      <c r="AG5" t="n">
        <v>3</v>
      </c>
      <c r="AH5" t="n">
        <v>2</v>
      </c>
      <c r="AI5" t="n">
        <v>2</v>
      </c>
      <c r="AJ5" t="n">
        <v>5</v>
      </c>
      <c r="AK5" t="n">
        <v>5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HYPERLINK("https://creighton-primo.hosted.exlibrisgroup.com/primo-explore/search?tab=default_tab&amp;search_scope=EVERYTHING&amp;vid=01CRU&amp;lang=en_US&amp;offset=0&amp;query=any,contains,991001773069702656","Catalog Record")</f>
        <v/>
      </c>
      <c r="AT5">
        <f>HYPERLINK("http://www.worldcat.org/oclc/438948","WorldCat Record")</f>
        <v/>
      </c>
      <c r="AU5" t="inlineStr">
        <is>
          <t>32285003011201</t>
        </is>
      </c>
      <c r="AV5" t="inlineStr">
        <is>
          <t>893874860</t>
        </is>
      </c>
    </row>
    <row r="6">
      <c r="A6" t="inlineStr">
        <is>
          <t>No</t>
        </is>
      </c>
      <c r="B6" t="inlineStr">
        <is>
          <t>R119 .K55 1991</t>
        </is>
      </c>
      <c r="C6" t="inlineStr">
        <is>
          <t>0                      R  0119000K  55          1991</t>
        </is>
      </c>
      <c r="D6" t="inlineStr">
        <is>
          <t>Why not say it clearly : a guide to expository writing / Lester S. King.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King, Lester S. (Lester Snow), 1908-2002.</t>
        </is>
      </c>
      <c r="L6" t="inlineStr">
        <is>
          <t>Boston : Little, Brown, 1991.</t>
        </is>
      </c>
      <c r="M6" t="inlineStr">
        <is>
          <t>1991</t>
        </is>
      </c>
      <c r="N6" t="inlineStr">
        <is>
          <t>2nd ed.</t>
        </is>
      </c>
      <c r="O6" t="inlineStr">
        <is>
          <t>eng</t>
        </is>
      </c>
      <c r="P6" t="inlineStr">
        <is>
          <t>mau</t>
        </is>
      </c>
      <c r="R6" t="inlineStr">
        <is>
          <t xml:space="preserve">R  </t>
        </is>
      </c>
      <c r="S6" t="n">
        <v>4</v>
      </c>
      <c r="T6" t="n">
        <v>4</v>
      </c>
      <c r="U6" t="inlineStr">
        <is>
          <t>1995-12-15</t>
        </is>
      </c>
      <c r="V6" t="inlineStr">
        <is>
          <t>1995-12-15</t>
        </is>
      </c>
      <c r="W6" t="inlineStr">
        <is>
          <t>1993-08-16</t>
        </is>
      </c>
      <c r="X6" t="inlineStr">
        <is>
          <t>1993-08-16</t>
        </is>
      </c>
      <c r="Y6" t="n">
        <v>244</v>
      </c>
      <c r="Z6" t="n">
        <v>211</v>
      </c>
      <c r="AA6" t="n">
        <v>214</v>
      </c>
      <c r="AB6" t="n">
        <v>3</v>
      </c>
      <c r="AC6" t="n">
        <v>3</v>
      </c>
      <c r="AD6" t="n">
        <v>4</v>
      </c>
      <c r="AE6" t="n">
        <v>4</v>
      </c>
      <c r="AF6" t="n">
        <v>1</v>
      </c>
      <c r="AG6" t="n">
        <v>1</v>
      </c>
      <c r="AH6" t="n">
        <v>1</v>
      </c>
      <c r="AI6" t="n">
        <v>1</v>
      </c>
      <c r="AJ6" t="n">
        <v>2</v>
      </c>
      <c r="AK6" t="n">
        <v>2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HYPERLINK("http://catalog.hathitrust.org/Record/002453624","HathiTrust Record")</f>
        <v/>
      </c>
      <c r="AS6">
        <f>HYPERLINK("https://creighton-primo.hosted.exlibrisgroup.com/primo-explore/search?tab=default_tab&amp;search_scope=EVERYTHING&amp;vid=01CRU&amp;lang=en_US&amp;offset=0&amp;query=any,contains,991001794039702656","Catalog Record")</f>
        <v/>
      </c>
      <c r="AT6">
        <f>HYPERLINK("http://www.worldcat.org/oclc/23675388","WorldCat Record")</f>
        <v/>
      </c>
      <c r="AU6" t="inlineStr">
        <is>
          <t>32285003011151</t>
        </is>
      </c>
      <c r="AV6" t="inlineStr">
        <is>
          <t>893697738</t>
        </is>
      </c>
    </row>
    <row r="7">
      <c r="A7" t="inlineStr">
        <is>
          <t>No</t>
        </is>
      </c>
      <c r="B7" t="inlineStr">
        <is>
          <t>R121 .N466 1988</t>
        </is>
      </c>
      <c r="C7" t="inlineStr">
        <is>
          <t>0                      R  0121000N  466         1988</t>
        </is>
      </c>
      <c r="D7" t="inlineStr">
        <is>
          <t>New American pocket medical dictionary / edited by Nancy Roper ; adapted from the fourteenth British edition by Jane Clark Jackson.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New York : Scribner, c1988.</t>
        </is>
      </c>
      <c r="M7" t="inlineStr">
        <is>
          <t>1988</t>
        </is>
      </c>
      <c r="N7" t="inlineStr">
        <is>
          <t>2nd ed.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R  </t>
        </is>
      </c>
      <c r="S7" t="n">
        <v>9</v>
      </c>
      <c r="T7" t="n">
        <v>9</v>
      </c>
      <c r="U7" t="inlineStr">
        <is>
          <t>2007-04-12</t>
        </is>
      </c>
      <c r="V7" t="inlineStr">
        <is>
          <t>2007-04-12</t>
        </is>
      </c>
      <c r="W7" t="inlineStr">
        <is>
          <t>1999-06-21</t>
        </is>
      </c>
      <c r="X7" t="inlineStr">
        <is>
          <t>1999-06-21</t>
        </is>
      </c>
      <c r="Y7" t="n">
        <v>50</v>
      </c>
      <c r="Z7" t="n">
        <v>45</v>
      </c>
      <c r="AA7" t="n">
        <v>129</v>
      </c>
      <c r="AB7" t="n">
        <v>1</v>
      </c>
      <c r="AC7" t="n">
        <v>1</v>
      </c>
      <c r="AD7" t="n">
        <v>0</v>
      </c>
      <c r="AE7" t="n">
        <v>1</v>
      </c>
      <c r="AF7" t="n">
        <v>0</v>
      </c>
      <c r="AG7" t="n">
        <v>1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HYPERLINK("https://creighton-primo.hosted.exlibrisgroup.com/primo-explore/search?tab=default_tab&amp;search_scope=EVERYTHING&amp;vid=01CRU&amp;lang=en_US&amp;offset=0&amp;query=any,contains,991001277059702656","Catalog Record")</f>
        <v/>
      </c>
      <c r="AT7">
        <f>HYPERLINK("http://www.worldcat.org/oclc/17876524","WorldCat Record")</f>
        <v/>
      </c>
      <c r="AU7" t="inlineStr">
        <is>
          <t>32285004892278</t>
        </is>
      </c>
      <c r="AV7" t="inlineStr">
        <is>
          <t>893599582</t>
        </is>
      </c>
    </row>
    <row r="8">
      <c r="A8" t="inlineStr">
        <is>
          <t>No</t>
        </is>
      </c>
      <c r="B8" t="inlineStr">
        <is>
          <t>R121 .U73 1990</t>
        </is>
      </c>
      <c r="C8" t="inlineStr">
        <is>
          <t>0                      R  0121000U  73          1990</t>
        </is>
      </c>
      <c r="D8" t="inlineStr">
        <is>
          <t>The Bantam medical dictionary / prepared by the editors of Market House Books Ltd.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L8" t="inlineStr">
        <is>
          <t>New York : Bantam Books, c1990.</t>
        </is>
      </c>
      <c r="M8" t="inlineStr">
        <is>
          <t>1990</t>
        </is>
      </c>
      <c r="N8" t="inlineStr">
        <is>
          <t>Rev.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R  </t>
        </is>
      </c>
      <c r="S8" t="n">
        <v>9</v>
      </c>
      <c r="T8" t="n">
        <v>9</v>
      </c>
      <c r="U8" t="inlineStr">
        <is>
          <t>2007-05-10</t>
        </is>
      </c>
      <c r="V8" t="inlineStr">
        <is>
          <t>2007-05-10</t>
        </is>
      </c>
      <c r="W8" t="inlineStr">
        <is>
          <t>1996-08-05</t>
        </is>
      </c>
      <c r="X8" t="inlineStr">
        <is>
          <t>1996-08-05</t>
        </is>
      </c>
      <c r="Y8" t="n">
        <v>137</v>
      </c>
      <c r="Z8" t="n">
        <v>132</v>
      </c>
      <c r="AA8" t="n">
        <v>355</v>
      </c>
      <c r="AB8" t="n">
        <v>2</v>
      </c>
      <c r="AC8" t="n">
        <v>4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HYPERLINK("https://creighton-primo.hosted.exlibrisgroup.com/primo-explore/search?tab=default_tab&amp;search_scope=EVERYTHING&amp;vid=01CRU&amp;lang=en_US&amp;offset=0&amp;query=any,contains,991001735229702656","Catalog Record")</f>
        <v/>
      </c>
      <c r="AT8">
        <f>HYPERLINK("http://www.worldcat.org/oclc/21970665","WorldCat Record")</f>
        <v/>
      </c>
      <c r="AU8" t="inlineStr">
        <is>
          <t>32285005442057</t>
        </is>
      </c>
      <c r="AV8" t="inlineStr">
        <is>
          <t>893701227</t>
        </is>
      </c>
    </row>
    <row r="9">
      <c r="A9" t="inlineStr">
        <is>
          <t>No</t>
        </is>
      </c>
      <c r="B9" t="inlineStr">
        <is>
          <t>R126 .A93 1984</t>
        </is>
      </c>
      <c r="C9" t="inlineStr">
        <is>
          <t>0                      R  0126000A  93          1984</t>
        </is>
      </c>
      <c r="D9" t="inlineStr">
        <is>
          <t>Commentaria Averrois in Galenum / edidit Ma. de la Concepción Vázquez de Benito.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Averroës, 1126-1198.</t>
        </is>
      </c>
      <c r="L9" t="inlineStr">
        <is>
          <t>Madrid : Consejo Superior de Investigaciones Científicas, Instituto "Miguel Asín" : Instituto Hispano-Arabe de Cultura, 1984.</t>
        </is>
      </c>
      <c r="M9" t="inlineStr">
        <is>
          <t>1984</t>
        </is>
      </c>
      <c r="O9" t="inlineStr">
        <is>
          <t>ara</t>
        </is>
      </c>
      <c r="P9" t="inlineStr">
        <is>
          <t xml:space="preserve">sp </t>
        </is>
      </c>
      <c r="Q9" t="inlineStr">
        <is>
          <t>Corpus philosophorum Medii Aevi</t>
        </is>
      </c>
      <c r="R9" t="inlineStr">
        <is>
          <t xml:space="preserve">R  </t>
        </is>
      </c>
      <c r="S9" t="n">
        <v>2</v>
      </c>
      <c r="T9" t="n">
        <v>2</v>
      </c>
      <c r="U9" t="inlineStr">
        <is>
          <t>1995-12-15</t>
        </is>
      </c>
      <c r="V9" t="inlineStr">
        <is>
          <t>1995-12-15</t>
        </is>
      </c>
      <c r="W9" t="inlineStr">
        <is>
          <t>1993-03-05</t>
        </is>
      </c>
      <c r="X9" t="inlineStr">
        <is>
          <t>1993-03-05</t>
        </is>
      </c>
      <c r="Y9" t="n">
        <v>29</v>
      </c>
      <c r="Z9" t="n">
        <v>17</v>
      </c>
      <c r="AA9" t="n">
        <v>18</v>
      </c>
      <c r="AB9" t="n">
        <v>1</v>
      </c>
      <c r="AC9" t="n">
        <v>1</v>
      </c>
      <c r="AD9" t="n">
        <v>2</v>
      </c>
      <c r="AE9" t="n">
        <v>2</v>
      </c>
      <c r="AF9" t="n">
        <v>0</v>
      </c>
      <c r="AG9" t="n">
        <v>0</v>
      </c>
      <c r="AH9" t="n">
        <v>1</v>
      </c>
      <c r="AI9" t="n">
        <v>1</v>
      </c>
      <c r="AJ9" t="n">
        <v>2</v>
      </c>
      <c r="AK9" t="n">
        <v>2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HYPERLINK("http://catalog.hathitrust.org/Record/102094576","HathiTrust Record")</f>
        <v/>
      </c>
      <c r="AS9">
        <f>HYPERLINK("https://creighton-primo.hosted.exlibrisgroup.com/primo-explore/search?tab=default_tab&amp;search_scope=EVERYTHING&amp;vid=01CRU&amp;lang=en_US&amp;offset=0&amp;query=any,contains,991001034349702656","Catalog Record")</f>
        <v/>
      </c>
      <c r="AT9">
        <f>HYPERLINK("http://www.worldcat.org/oclc/15528188","WorldCat Record")</f>
        <v/>
      </c>
      <c r="AU9" t="inlineStr">
        <is>
          <t>32285000913334</t>
        </is>
      </c>
      <c r="AV9" t="inlineStr">
        <is>
          <t>893238017</t>
        </is>
      </c>
    </row>
    <row r="10">
      <c r="A10" t="inlineStr">
        <is>
          <t>No</t>
        </is>
      </c>
      <c r="B10" t="inlineStr">
        <is>
          <t>R126.G8 B74 1986</t>
        </is>
      </c>
      <c r="C10" t="inlineStr">
        <is>
          <t>0                      R  0126000G  8                  B  74          1986</t>
        </is>
      </c>
      <c r="D10" t="inlineStr">
        <is>
          <t>Galen on bloodletting : a study of the origins, development, and validity of his opinions, with a translation of the three works / Peter Brain.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Brain, Peter.</t>
        </is>
      </c>
      <c r="L10" t="inlineStr">
        <is>
          <t>Cambridge [Cambridgeshire] ; New York : Cambridge University Press, 1986.</t>
        </is>
      </c>
      <c r="M10" t="inlineStr">
        <is>
          <t>1986</t>
        </is>
      </c>
      <c r="O10" t="inlineStr">
        <is>
          <t>eng</t>
        </is>
      </c>
      <c r="P10" t="inlineStr">
        <is>
          <t>enk</t>
        </is>
      </c>
      <c r="R10" t="inlineStr">
        <is>
          <t xml:space="preserve">R  </t>
        </is>
      </c>
      <c r="S10" t="n">
        <v>13</v>
      </c>
      <c r="T10" t="n">
        <v>13</v>
      </c>
      <c r="U10" t="inlineStr">
        <is>
          <t>2007-03-17</t>
        </is>
      </c>
      <c r="V10" t="inlineStr">
        <is>
          <t>2007-03-17</t>
        </is>
      </c>
      <c r="W10" t="inlineStr">
        <is>
          <t>1992-02-19</t>
        </is>
      </c>
      <c r="X10" t="inlineStr">
        <is>
          <t>1992-02-19</t>
        </is>
      </c>
      <c r="Y10" t="n">
        <v>299</v>
      </c>
      <c r="Z10" t="n">
        <v>219</v>
      </c>
      <c r="AA10" t="n">
        <v>229</v>
      </c>
      <c r="AB10" t="n">
        <v>2</v>
      </c>
      <c r="AC10" t="n">
        <v>2</v>
      </c>
      <c r="AD10" t="n">
        <v>8</v>
      </c>
      <c r="AE10" t="n">
        <v>8</v>
      </c>
      <c r="AF10" t="n">
        <v>1</v>
      </c>
      <c r="AG10" t="n">
        <v>1</v>
      </c>
      <c r="AH10" t="n">
        <v>3</v>
      </c>
      <c r="AI10" t="n">
        <v>3</v>
      </c>
      <c r="AJ10" t="n">
        <v>6</v>
      </c>
      <c r="AK10" t="n">
        <v>6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HYPERLINK("https://creighton-primo.hosted.exlibrisgroup.com/primo-explore/search?tab=default_tab&amp;search_scope=EVERYTHING&amp;vid=01CRU&amp;lang=en_US&amp;offset=0&amp;query=any,contains,991005405889702656","Catalog Record")</f>
        <v/>
      </c>
      <c r="AT10">
        <f>HYPERLINK("http://www.worldcat.org/oclc/12724204","WorldCat Record")</f>
        <v/>
      </c>
      <c r="AU10" t="inlineStr">
        <is>
          <t>32285001300168</t>
        </is>
      </c>
      <c r="AV10" t="inlineStr">
        <is>
          <t>893238336</t>
        </is>
      </c>
    </row>
    <row r="11">
      <c r="A11" t="inlineStr">
        <is>
          <t>No</t>
        </is>
      </c>
      <c r="B11" t="inlineStr">
        <is>
          <t>R126.H59 M313 1971</t>
        </is>
      </c>
      <c r="C11" t="inlineStr">
        <is>
          <t>0                      R  0126000H  59                 M  313         1971</t>
        </is>
      </c>
      <c r="D11" t="inlineStr">
        <is>
          <t>Kitāb Buqrāṭ fiʼl-akhlāt (Hippocrates: On humours); and, Kitāb al-ghidhaʼ li-Buqrāṭ (Hippocrates: On nutriment) / edited and translated [from the ancient Greek] with introduction, notes and glossary by J. N. Mattock.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Hippocrates.</t>
        </is>
      </c>
      <c r="L11" t="inlineStr">
        <is>
          <t>Cambridge : (20 Trinity St., Cambridge, CB2 3NG), W. Heffer and Sons Ltd [for] Cambridge Middle East Centre, 1971.</t>
        </is>
      </c>
      <c r="M11" t="inlineStr">
        <is>
          <t>1971</t>
        </is>
      </c>
      <c r="O11" t="inlineStr">
        <is>
          <t>eng</t>
        </is>
      </c>
      <c r="P11" t="inlineStr">
        <is>
          <t>enk</t>
        </is>
      </c>
      <c r="Q11" t="inlineStr">
        <is>
          <t>Arabic technical and scientific texts ; v. 6</t>
        </is>
      </c>
      <c r="R11" t="inlineStr">
        <is>
          <t xml:space="preserve">R  </t>
        </is>
      </c>
      <c r="S11" t="n">
        <v>2</v>
      </c>
      <c r="T11" t="n">
        <v>2</v>
      </c>
      <c r="U11" t="inlineStr">
        <is>
          <t>1995-09-09</t>
        </is>
      </c>
      <c r="V11" t="inlineStr">
        <is>
          <t>1995-09-09</t>
        </is>
      </c>
      <c r="W11" t="inlineStr">
        <is>
          <t>1993-08-20</t>
        </is>
      </c>
      <c r="X11" t="inlineStr">
        <is>
          <t>1993-08-20</t>
        </is>
      </c>
      <c r="Y11" t="n">
        <v>63</v>
      </c>
      <c r="Z11" t="n">
        <v>40</v>
      </c>
      <c r="AA11" t="n">
        <v>45</v>
      </c>
      <c r="AB11" t="n">
        <v>2</v>
      </c>
      <c r="AC11" t="n">
        <v>2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HYPERLINK("http://catalog.hathitrust.org/Record/001577103","HathiTrust Record")</f>
        <v/>
      </c>
      <c r="AS11">
        <f>HYPERLINK("https://creighton-primo.hosted.exlibrisgroup.com/primo-explore/search?tab=default_tab&amp;search_scope=EVERYTHING&amp;vid=01CRU&amp;lang=en_US&amp;offset=0&amp;query=any,contains,991003117419702656","Catalog Record")</f>
        <v/>
      </c>
      <c r="AT11">
        <f>HYPERLINK("http://www.worldcat.org/oclc/663649","WorldCat Record")</f>
        <v/>
      </c>
      <c r="AU11" t="inlineStr">
        <is>
          <t>32285001206472</t>
        </is>
      </c>
      <c r="AV11" t="inlineStr">
        <is>
          <t>893353105</t>
        </is>
      </c>
    </row>
    <row r="12">
      <c r="A12" t="inlineStr">
        <is>
          <t>No</t>
        </is>
      </c>
      <c r="B12" t="inlineStr">
        <is>
          <t>R126.H8 A1 1985</t>
        </is>
      </c>
      <c r="C12" t="inlineStr">
        <is>
          <t>0                      R  0126000H  8                  A  1           1985</t>
        </is>
      </c>
      <c r="D12" t="inlineStr">
        <is>
          <t>Hippocrates Latinus : repertorium of Hippocratic writings in the Latin Middle Ages / by Pearl Kibre.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Kibre, Pearl, 1903-</t>
        </is>
      </c>
      <c r="M12" t="inlineStr">
        <is>
          <t>1985</t>
        </is>
      </c>
      <c r="N12" t="inlineStr">
        <is>
          <t>Rev. ed.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R  </t>
        </is>
      </c>
      <c r="S12" t="n">
        <v>4</v>
      </c>
      <c r="T12" t="n">
        <v>4</v>
      </c>
      <c r="U12" t="inlineStr">
        <is>
          <t>1993-04-16</t>
        </is>
      </c>
      <c r="V12" t="inlineStr">
        <is>
          <t>1993-04-16</t>
        </is>
      </c>
      <c r="W12" t="inlineStr">
        <is>
          <t>1992-05-12</t>
        </is>
      </c>
      <c r="X12" t="inlineStr">
        <is>
          <t>1992-05-12</t>
        </is>
      </c>
      <c r="Y12" t="n">
        <v>133</v>
      </c>
      <c r="Z12" t="n">
        <v>102</v>
      </c>
      <c r="AA12" t="n">
        <v>106</v>
      </c>
      <c r="AB12" t="n">
        <v>1</v>
      </c>
      <c r="AC12" t="n">
        <v>1</v>
      </c>
      <c r="AD12" t="n">
        <v>5</v>
      </c>
      <c r="AE12" t="n">
        <v>5</v>
      </c>
      <c r="AF12" t="n">
        <v>0</v>
      </c>
      <c r="AG12" t="n">
        <v>0</v>
      </c>
      <c r="AH12" t="n">
        <v>2</v>
      </c>
      <c r="AI12" t="n">
        <v>2</v>
      </c>
      <c r="AJ12" t="n">
        <v>5</v>
      </c>
      <c r="AK12" t="n">
        <v>5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HYPERLINK("http://catalog.hathitrust.org/Record/000812860","HathiTrust Record")</f>
        <v/>
      </c>
      <c r="AS12">
        <f>HYPERLINK("https://creighton-primo.hosted.exlibrisgroup.com/primo-explore/search?tab=default_tab&amp;search_scope=EVERYTHING&amp;vid=01CRU&amp;lang=en_US&amp;offset=0&amp;query=any,contains,991000651769702656","Catalog Record")</f>
        <v/>
      </c>
      <c r="AT12">
        <f>HYPERLINK("http://www.worldcat.org/oclc/12175161","WorldCat Record")</f>
        <v/>
      </c>
      <c r="AU12" t="inlineStr">
        <is>
          <t>32285001121614</t>
        </is>
      </c>
      <c r="AV12" t="inlineStr">
        <is>
          <t>893699664</t>
        </is>
      </c>
    </row>
    <row r="13">
      <c r="A13" t="inlineStr">
        <is>
          <t>No</t>
        </is>
      </c>
      <c r="B13" t="inlineStr">
        <is>
          <t>R126.H8 C65 1987</t>
        </is>
      </c>
      <c r="C13" t="inlineStr">
        <is>
          <t>0                      R  0126000H  8                  C  65          1987</t>
        </is>
      </c>
      <c r="D13" t="inlineStr">
        <is>
          <t>La maladie et les maladies dans la Collection hippocratique : actes du VIe Colloque international hippocratique (Québec, du 28 septembre au 3 octobre 1987 / édition préparée par Paul Potter, Gilles Maloney, Jacques Desautels.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International Hippocrates Colloquium (6th : 1987 : Québec, Québec)</t>
        </is>
      </c>
      <c r="L13" t="inlineStr">
        <is>
          <t>Québec : Éditions du sphinx, 1990.</t>
        </is>
      </c>
      <c r="M13" t="inlineStr">
        <is>
          <t>1990</t>
        </is>
      </c>
      <c r="O13" t="inlineStr">
        <is>
          <t>fre</t>
        </is>
      </c>
      <c r="P13" t="inlineStr">
        <is>
          <t>quc</t>
        </is>
      </c>
      <c r="R13" t="inlineStr">
        <is>
          <t xml:space="preserve">R  </t>
        </is>
      </c>
      <c r="S13" t="n">
        <v>4</v>
      </c>
      <c r="T13" t="n">
        <v>4</v>
      </c>
      <c r="U13" t="inlineStr">
        <is>
          <t>2008-07-01</t>
        </is>
      </c>
      <c r="V13" t="inlineStr">
        <is>
          <t>2008-07-01</t>
        </is>
      </c>
      <c r="W13" t="inlineStr">
        <is>
          <t>1992-03-06</t>
        </is>
      </c>
      <c r="X13" t="inlineStr">
        <is>
          <t>1992-03-06</t>
        </is>
      </c>
      <c r="Y13" t="n">
        <v>30</v>
      </c>
      <c r="Z13" t="n">
        <v>14</v>
      </c>
      <c r="AA13" t="n">
        <v>35</v>
      </c>
      <c r="AB13" t="n">
        <v>1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HYPERLINK("https://creighton-primo.hosted.exlibrisgroup.com/primo-explore/search?tab=default_tab&amp;search_scope=EVERYTHING&amp;vid=01CRU&amp;lang=en_US&amp;offset=0&amp;query=any,contains,991001804759702656","Catalog Record")</f>
        <v/>
      </c>
      <c r="AT13">
        <f>HYPERLINK("http://www.worldcat.org/oclc/22697275","WorldCat Record")</f>
        <v/>
      </c>
      <c r="AU13" t="inlineStr">
        <is>
          <t>32285001839439</t>
        </is>
      </c>
      <c r="AV13" t="inlineStr">
        <is>
          <t>893806245</t>
        </is>
      </c>
    </row>
    <row r="14">
      <c r="A14" t="inlineStr">
        <is>
          <t>No</t>
        </is>
      </c>
      <c r="B14" t="inlineStr">
        <is>
          <t>R128.3 .A953 1987</t>
        </is>
      </c>
      <c r="C14" t="inlineStr">
        <is>
          <t>0                      R  0128300A  953         1987</t>
        </is>
      </c>
      <c r="D14" t="inlineStr">
        <is>
          <t>Kitāb al-Kullīyyāt fī l-tibb / Ibn Rušd ; J.M. Fórneas Besteiro, C. Álvarez de Morales.</t>
        </is>
      </c>
      <c r="E14" t="inlineStr">
        <is>
          <t>V.2</t>
        </is>
      </c>
      <c r="F14" t="inlineStr">
        <is>
          <t>Yes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Averroës, 1126-1198.</t>
        </is>
      </c>
      <c r="L14" t="inlineStr">
        <is>
          <t>Madrid : Consejo Superior de Investigaciones Cientificas, Escuela de Estudios Árabes de Granada, c1987.</t>
        </is>
      </c>
      <c r="M14" t="inlineStr">
        <is>
          <t>1987</t>
        </is>
      </c>
      <c r="O14" t="inlineStr">
        <is>
          <t>ara</t>
        </is>
      </c>
      <c r="P14" t="inlineStr">
        <is>
          <t xml:space="preserve">sp </t>
        </is>
      </c>
      <c r="R14" t="inlineStr">
        <is>
          <t xml:space="preserve">R  </t>
        </is>
      </c>
      <c r="S14" t="n">
        <v>4</v>
      </c>
      <c r="T14" t="n">
        <v>8</v>
      </c>
      <c r="U14" t="inlineStr">
        <is>
          <t>2001-04-27</t>
        </is>
      </c>
      <c r="V14" t="inlineStr">
        <is>
          <t>2001-04-27</t>
        </is>
      </c>
      <c r="W14" t="inlineStr">
        <is>
          <t>1993-03-05</t>
        </is>
      </c>
      <c r="X14" t="inlineStr">
        <is>
          <t>1993-03-05</t>
        </is>
      </c>
      <c r="Y14" t="n">
        <v>22</v>
      </c>
      <c r="Z14" t="n">
        <v>13</v>
      </c>
      <c r="AA14" t="n">
        <v>15</v>
      </c>
      <c r="AB14" t="n">
        <v>1</v>
      </c>
      <c r="AC14" t="n">
        <v>1</v>
      </c>
      <c r="AD14" t="n">
        <v>1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HYPERLINK("http://catalog.hathitrust.org/Record/006201579","HathiTrust Record")</f>
        <v/>
      </c>
      <c r="AS14">
        <f>HYPERLINK("https://creighton-primo.hosted.exlibrisgroup.com/primo-explore/search?tab=default_tab&amp;search_scope=EVERYTHING&amp;vid=01CRU&amp;lang=en_US&amp;offset=0&amp;query=any,contains,991005410349702656","Catalog Record")</f>
        <v/>
      </c>
      <c r="AT14">
        <f>HYPERLINK("http://www.worldcat.org/oclc/18946485","WorldCat Record")</f>
        <v/>
      </c>
      <c r="AU14" t="inlineStr">
        <is>
          <t>32285001547792</t>
        </is>
      </c>
      <c r="AV14" t="inlineStr">
        <is>
          <t>893325742</t>
        </is>
      </c>
    </row>
    <row r="15">
      <c r="A15" t="inlineStr">
        <is>
          <t>No</t>
        </is>
      </c>
      <c r="B15" t="inlineStr">
        <is>
          <t>R128.3 .A953 1987</t>
        </is>
      </c>
      <c r="C15" t="inlineStr">
        <is>
          <t>0                      R  0128300A  953         1987</t>
        </is>
      </c>
      <c r="D15" t="inlineStr">
        <is>
          <t>Kitāb al-Kullīyyāt fī l-tibb / Ibn Rušd ; J.M. Fórneas Besteiro, C. Álvarez de Morales.</t>
        </is>
      </c>
      <c r="E15" t="inlineStr">
        <is>
          <t>V.1</t>
        </is>
      </c>
      <c r="F15" t="inlineStr">
        <is>
          <t>Yes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Averroës, 1126-1198.</t>
        </is>
      </c>
      <c r="L15" t="inlineStr">
        <is>
          <t>Madrid : Consejo Superior de Investigaciones Cientificas, Escuela de Estudios Árabes de Granada, c1987.</t>
        </is>
      </c>
      <c r="M15" t="inlineStr">
        <is>
          <t>1987</t>
        </is>
      </c>
      <c r="O15" t="inlineStr">
        <is>
          <t>ara</t>
        </is>
      </c>
      <c r="P15" t="inlineStr">
        <is>
          <t xml:space="preserve">sp </t>
        </is>
      </c>
      <c r="R15" t="inlineStr">
        <is>
          <t xml:space="preserve">R  </t>
        </is>
      </c>
      <c r="S15" t="n">
        <v>4</v>
      </c>
      <c r="T15" t="n">
        <v>8</v>
      </c>
      <c r="U15" t="inlineStr">
        <is>
          <t>2001-04-27</t>
        </is>
      </c>
      <c r="V15" t="inlineStr">
        <is>
          <t>2001-04-27</t>
        </is>
      </c>
      <c r="W15" t="inlineStr">
        <is>
          <t>1993-03-05</t>
        </is>
      </c>
      <c r="X15" t="inlineStr">
        <is>
          <t>1993-03-05</t>
        </is>
      </c>
      <c r="Y15" t="n">
        <v>22</v>
      </c>
      <c r="Z15" t="n">
        <v>13</v>
      </c>
      <c r="AA15" t="n">
        <v>15</v>
      </c>
      <c r="AB15" t="n">
        <v>1</v>
      </c>
      <c r="AC15" t="n">
        <v>1</v>
      </c>
      <c r="AD15" t="n">
        <v>1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1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HYPERLINK("http://catalog.hathitrust.org/Record/006201579","HathiTrust Record")</f>
        <v/>
      </c>
      <c r="AS15">
        <f>HYPERLINK("https://creighton-primo.hosted.exlibrisgroup.com/primo-explore/search?tab=default_tab&amp;search_scope=EVERYTHING&amp;vid=01CRU&amp;lang=en_US&amp;offset=0&amp;query=any,contains,991005410349702656","Catalog Record")</f>
        <v/>
      </c>
      <c r="AT15">
        <f>HYPERLINK("http://www.worldcat.org/oclc/18946485","WorldCat Record")</f>
        <v/>
      </c>
      <c r="AU15" t="inlineStr">
        <is>
          <t>32285001547784</t>
        </is>
      </c>
      <c r="AV15" t="inlineStr">
        <is>
          <t>893325743</t>
        </is>
      </c>
    </row>
    <row r="16">
      <c r="A16" t="inlineStr">
        <is>
          <t>No</t>
        </is>
      </c>
      <c r="B16" t="inlineStr">
        <is>
          <t>R128.3 .A97 1982 v...</t>
        </is>
      </c>
      <c r="C16" t="inlineStr">
        <is>
          <t>0                      R  0128300A  97          1982                                        v...</t>
        </is>
      </c>
      <c r="D16" t="inlineStr">
        <is>
          <t>al-Qānūn fī al-ṭibb / taʼlīf Abū ʻAlī al-Ḥusayn ibn ʻAbd ʻAllāh ibn Sīnā.</t>
        </is>
      </c>
      <c r="E16" t="inlineStr">
        <is>
          <t>V.1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Avicenna, 980-1037.</t>
        </is>
      </c>
      <c r="L16" t="inlineStr">
        <is>
          <t>New Delhi : Vikas, c1982-</t>
        </is>
      </c>
      <c r="M16" t="inlineStr">
        <is>
          <t>1982</t>
        </is>
      </c>
      <c r="N16" t="inlineStr">
        <is>
          <t>al-Ṭabʻah al-munaqqaḥah.</t>
        </is>
      </c>
      <c r="O16" t="inlineStr">
        <is>
          <t>ara</t>
        </is>
      </c>
      <c r="P16" t="inlineStr">
        <is>
          <t xml:space="preserve">ii </t>
        </is>
      </c>
      <c r="R16" t="inlineStr">
        <is>
          <t xml:space="preserve">R  </t>
        </is>
      </c>
      <c r="S16" t="n">
        <v>10</v>
      </c>
      <c r="T16" t="n">
        <v>10</v>
      </c>
      <c r="U16" t="inlineStr">
        <is>
          <t>2003-03-05</t>
        </is>
      </c>
      <c r="V16" t="inlineStr">
        <is>
          <t>2003-03-05</t>
        </is>
      </c>
      <c r="W16" t="inlineStr">
        <is>
          <t>1993-03-05</t>
        </is>
      </c>
      <c r="X16" t="inlineStr">
        <is>
          <t>1993-03-05</t>
        </is>
      </c>
      <c r="Y16" t="n">
        <v>43</v>
      </c>
      <c r="Z16" t="n">
        <v>35</v>
      </c>
      <c r="AA16" t="n">
        <v>70</v>
      </c>
      <c r="AB16" t="n">
        <v>1</v>
      </c>
      <c r="AC16" t="n">
        <v>1</v>
      </c>
      <c r="AD16" t="n">
        <v>1</v>
      </c>
      <c r="AE16" t="n">
        <v>3</v>
      </c>
      <c r="AF16" t="n">
        <v>0</v>
      </c>
      <c r="AG16" t="n">
        <v>0</v>
      </c>
      <c r="AH16" t="n">
        <v>1</v>
      </c>
      <c r="AI16" t="n">
        <v>3</v>
      </c>
      <c r="AJ16" t="n">
        <v>1</v>
      </c>
      <c r="AK16" t="n">
        <v>2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HYPERLINK("http://catalog.hathitrust.org/Record/006055166","HathiTrust Record")</f>
        <v/>
      </c>
      <c r="AS16">
        <f>HYPERLINK("https://creighton-primo.hosted.exlibrisgroup.com/primo-explore/search?tab=default_tab&amp;search_scope=EVERYTHING&amp;vid=01CRU&amp;lang=en_US&amp;offset=0&amp;query=any,contains,991005405319702656","Catalog Record")</f>
        <v/>
      </c>
      <c r="AT16">
        <f>HYPERLINK("http://www.worldcat.org/oclc/12107867","WorldCat Record")</f>
        <v/>
      </c>
      <c r="AU16" t="inlineStr">
        <is>
          <t>32285001547826</t>
        </is>
      </c>
      <c r="AV16" t="inlineStr">
        <is>
          <t>893338102</t>
        </is>
      </c>
    </row>
    <row r="17">
      <c r="A17" t="inlineStr">
        <is>
          <t>No</t>
        </is>
      </c>
      <c r="B17" t="inlineStr">
        <is>
          <t>R128.3 .A9814 1956</t>
        </is>
      </c>
      <c r="C17" t="inlineStr">
        <is>
          <t>0                      R  0128300A  9814        1956</t>
        </is>
      </c>
      <c r="D17" t="inlineStr">
        <is>
          <t>Poème de la médecine : Urǧūza fī ʹṭ-ṭibb. Cantica Avicennæ / texte arabe, traduction française, traduction latine du XIIIe siècle avec introductons, notes et index établi et présenté par Henri Jahier [et] Abdelkader Noureddine.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Avicenna, 980-1037.</t>
        </is>
      </c>
      <c r="L17" t="inlineStr">
        <is>
          <t>Paris : Société d'édition "Les Belles Lettres," 1956.</t>
        </is>
      </c>
      <c r="M17" t="inlineStr">
        <is>
          <t>1956</t>
        </is>
      </c>
      <c r="O17" t="inlineStr">
        <is>
          <t>mul</t>
        </is>
      </c>
      <c r="P17" t="inlineStr">
        <is>
          <t xml:space="preserve">fr </t>
        </is>
      </c>
      <c r="Q17" t="inlineStr">
        <is>
          <t>Collection arabe pub. sous le patronage de l'Association Guillaume Budé</t>
        </is>
      </c>
      <c r="R17" t="inlineStr">
        <is>
          <t xml:space="preserve">R  </t>
        </is>
      </c>
      <c r="S17" t="n">
        <v>9</v>
      </c>
      <c r="T17" t="n">
        <v>9</v>
      </c>
      <c r="U17" t="inlineStr">
        <is>
          <t>2003-03-05</t>
        </is>
      </c>
      <c r="V17" t="inlineStr">
        <is>
          <t>2003-03-05</t>
        </is>
      </c>
      <c r="W17" t="inlineStr">
        <is>
          <t>1993-03-05</t>
        </is>
      </c>
      <c r="X17" t="inlineStr">
        <is>
          <t>1993-03-05</t>
        </is>
      </c>
      <c r="Y17" t="n">
        <v>52</v>
      </c>
      <c r="Z17" t="n">
        <v>39</v>
      </c>
      <c r="AA17" t="n">
        <v>40</v>
      </c>
      <c r="AB17" t="n">
        <v>1</v>
      </c>
      <c r="AC17" t="n">
        <v>1</v>
      </c>
      <c r="AD17" t="n">
        <v>2</v>
      </c>
      <c r="AE17" t="n">
        <v>2</v>
      </c>
      <c r="AF17" t="n">
        <v>0</v>
      </c>
      <c r="AG17" t="n">
        <v>0</v>
      </c>
      <c r="AH17" t="n">
        <v>2</v>
      </c>
      <c r="AI17" t="n">
        <v>2</v>
      </c>
      <c r="AJ17" t="n">
        <v>1</v>
      </c>
      <c r="AK17" t="n">
        <v>1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HYPERLINK("http://catalog.hathitrust.org/Record/002077755","HathiTrust Record")</f>
        <v/>
      </c>
      <c r="AS17">
        <f>HYPERLINK("https://creighton-primo.hosted.exlibrisgroup.com/primo-explore/search?tab=default_tab&amp;search_scope=EVERYTHING&amp;vid=01CRU&amp;lang=en_US&amp;offset=0&amp;query=any,contains,991005372379702656","Catalog Record")</f>
        <v/>
      </c>
      <c r="AT17">
        <f>HYPERLINK("http://www.worldcat.org/oclc/14674276","WorldCat Record")</f>
        <v/>
      </c>
      <c r="AU17" t="inlineStr">
        <is>
          <t>32285001547834</t>
        </is>
      </c>
      <c r="AV17" t="inlineStr">
        <is>
          <t>893319595</t>
        </is>
      </c>
    </row>
    <row r="18">
      <c r="A18" t="inlineStr">
        <is>
          <t>No</t>
        </is>
      </c>
      <c r="B18" t="inlineStr">
        <is>
          <t>R128.3 .H8613 1980</t>
        </is>
      </c>
      <c r="C18" t="inlineStr">
        <is>
          <t>0                      R  0128300H  8613        1980</t>
        </is>
      </c>
      <c r="D18" t="inlineStr">
        <is>
          <t>Questions on medicine for scholars / by Ḥunayn ibn Isḥāq ; translated into English, with a preface and historical note, by Paul Ghalioungui, from a critical edition by Galal M. Moussa, of the ninth century Arabic text, "al Masaʼil fi al-tibb lil mutaʼallimin".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Ḥunayn ibn Isḥāq al-ʻIbādī, 809?-873.</t>
        </is>
      </c>
      <c r="L18" t="inlineStr">
        <is>
          <t>Cairo, A.R.E. : al-Ahram Center for Scientific Translations ; Springfield, Va. : available from the U.S. Dept. of Commerce, National Technical Information Service, 1980.</t>
        </is>
      </c>
      <c r="M18" t="inlineStr">
        <is>
          <t>1980</t>
        </is>
      </c>
      <c r="O18" t="inlineStr">
        <is>
          <t>eng</t>
        </is>
      </c>
      <c r="P18" t="inlineStr">
        <is>
          <t xml:space="preserve">ua </t>
        </is>
      </c>
      <c r="R18" t="inlineStr">
        <is>
          <t xml:space="preserve">R  </t>
        </is>
      </c>
      <c r="S18" t="n">
        <v>9</v>
      </c>
      <c r="T18" t="n">
        <v>9</v>
      </c>
      <c r="U18" t="inlineStr">
        <is>
          <t>2003-03-05</t>
        </is>
      </c>
      <c r="V18" t="inlineStr">
        <is>
          <t>2003-03-05</t>
        </is>
      </c>
      <c r="W18" t="inlineStr">
        <is>
          <t>1993-03-05</t>
        </is>
      </c>
      <c r="X18" t="inlineStr">
        <is>
          <t>1993-03-05</t>
        </is>
      </c>
      <c r="Y18" t="n">
        <v>113</v>
      </c>
      <c r="Z18" t="n">
        <v>98</v>
      </c>
      <c r="AA18" t="n">
        <v>100</v>
      </c>
      <c r="AB18" t="n">
        <v>3</v>
      </c>
      <c r="AC18" t="n">
        <v>3</v>
      </c>
      <c r="AD18" t="n">
        <v>2</v>
      </c>
      <c r="AE18" t="n">
        <v>2</v>
      </c>
      <c r="AF18" t="n">
        <v>0</v>
      </c>
      <c r="AG18" t="n">
        <v>0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HYPERLINK("http://catalog.hathitrust.org/Record/006055168","HathiTrust Record")</f>
        <v/>
      </c>
      <c r="AS18">
        <f>HYPERLINK("https://creighton-primo.hosted.exlibrisgroup.com/primo-explore/search?tab=default_tab&amp;search_scope=EVERYTHING&amp;vid=01CRU&amp;lang=en_US&amp;offset=0&amp;query=any,contains,991005387369702656","Catalog Record")</f>
        <v/>
      </c>
      <c r="AT18">
        <f>HYPERLINK("http://www.worldcat.org/oclc/6625698","WorldCat Record")</f>
        <v/>
      </c>
      <c r="AU18" t="inlineStr">
        <is>
          <t>32285001547842</t>
        </is>
      </c>
      <c r="AV18" t="inlineStr">
        <is>
          <t>893350355</t>
        </is>
      </c>
    </row>
    <row r="19">
      <c r="A19" t="inlineStr">
        <is>
          <t>No</t>
        </is>
      </c>
      <c r="B19" t="inlineStr">
        <is>
          <t>R128.3 .I13415 1984</t>
        </is>
      </c>
      <c r="C19" t="inlineStr">
        <is>
          <t>0                      R  0128300I  13415       1984</t>
        </is>
      </c>
      <c r="D19" t="inlineStr">
        <is>
          <t>Das Ärztebankett / Ibn Buṭlān ; aus arabischen Handschriften übersetzt und mit einer Einleitung sowie Anmerkungen versehen von Felix Klein-Franke.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Ibn Buṭlān, -approximately 1068.</t>
        </is>
      </c>
      <c r="L19" t="inlineStr">
        <is>
          <t>Stuttgart : Hippokrates, c1984.</t>
        </is>
      </c>
      <c r="M19" t="inlineStr">
        <is>
          <t>1984</t>
        </is>
      </c>
      <c r="O19" t="inlineStr">
        <is>
          <t>ger</t>
        </is>
      </c>
      <c r="P19" t="inlineStr">
        <is>
          <t xml:space="preserve">gw </t>
        </is>
      </c>
      <c r="R19" t="inlineStr">
        <is>
          <t xml:space="preserve">R  </t>
        </is>
      </c>
      <c r="S19" t="n">
        <v>4</v>
      </c>
      <c r="T19" t="n">
        <v>4</v>
      </c>
      <c r="U19" t="inlineStr">
        <is>
          <t>1996-03-11</t>
        </is>
      </c>
      <c r="V19" t="inlineStr">
        <is>
          <t>1996-03-11</t>
        </is>
      </c>
      <c r="W19" t="inlineStr">
        <is>
          <t>1993-08-20</t>
        </is>
      </c>
      <c r="X19" t="inlineStr">
        <is>
          <t>1993-08-20</t>
        </is>
      </c>
      <c r="Y19" t="n">
        <v>62</v>
      </c>
      <c r="Z19" t="n">
        <v>28</v>
      </c>
      <c r="AA19" t="n">
        <v>29</v>
      </c>
      <c r="AB19" t="n">
        <v>1</v>
      </c>
      <c r="AC19" t="n">
        <v>1</v>
      </c>
      <c r="AD19" t="n">
        <v>1</v>
      </c>
      <c r="AE19" t="n">
        <v>1</v>
      </c>
      <c r="AF19" t="n">
        <v>0</v>
      </c>
      <c r="AG19" t="n">
        <v>0</v>
      </c>
      <c r="AH19" t="n">
        <v>1</v>
      </c>
      <c r="AI19" t="n">
        <v>1</v>
      </c>
      <c r="AJ19" t="n">
        <v>1</v>
      </c>
      <c r="AK19" t="n">
        <v>1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HYPERLINK("https://creighton-primo.hosted.exlibrisgroup.com/primo-explore/search?tab=default_tab&amp;search_scope=EVERYTHING&amp;vid=01CRU&amp;lang=en_US&amp;offset=0&amp;query=any,contains,991000596629702656","Catalog Record")</f>
        <v/>
      </c>
      <c r="AT19">
        <f>HYPERLINK("http://www.worldcat.org/oclc/11813093","WorldCat Record")</f>
        <v/>
      </c>
      <c r="AU19" t="inlineStr">
        <is>
          <t>32285001206464</t>
        </is>
      </c>
      <c r="AV19" t="inlineStr">
        <is>
          <t>893325741</t>
        </is>
      </c>
    </row>
    <row r="20">
      <c r="A20" t="inlineStr">
        <is>
          <t>No</t>
        </is>
      </c>
      <c r="B20" t="inlineStr">
        <is>
          <t>R128.3 .I253 1983</t>
        </is>
      </c>
      <c r="C20" t="inlineStr">
        <is>
          <t>0                      R  0128300I  253         1983</t>
        </is>
      </c>
      <c r="D20" t="inlineStr">
        <is>
          <t>Treatise to Ṣalāḥ ad-Dīn on the revival of the art of medicine / by Ibn Jumayʻ ; edited and translated by Hartmut Fähndrich.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Ibn Jumayʻ, Hibat Allāh ibn Zayn, -1198.</t>
        </is>
      </c>
      <c r="L20" t="inlineStr">
        <is>
          <t>Wiesbaden : Kommissionsverlag F. Steiner, 1983.</t>
        </is>
      </c>
      <c r="M20" t="inlineStr">
        <is>
          <t>1983</t>
        </is>
      </c>
      <c r="O20" t="inlineStr">
        <is>
          <t>eng</t>
        </is>
      </c>
      <c r="P20" t="inlineStr">
        <is>
          <t xml:space="preserve">gw </t>
        </is>
      </c>
      <c r="Q20" t="inlineStr">
        <is>
          <t>Abhandlungen für die Kunde des Morgenlandes, 0567-4980 ; XLVI, 3</t>
        </is>
      </c>
      <c r="R20" t="inlineStr">
        <is>
          <t xml:space="preserve">R  </t>
        </is>
      </c>
      <c r="S20" t="n">
        <v>9</v>
      </c>
      <c r="T20" t="n">
        <v>9</v>
      </c>
      <c r="U20" t="inlineStr">
        <is>
          <t>2008-05-20</t>
        </is>
      </c>
      <c r="V20" t="inlineStr">
        <is>
          <t>2008-05-20</t>
        </is>
      </c>
      <c r="W20" t="inlineStr">
        <is>
          <t>1993-03-05</t>
        </is>
      </c>
      <c r="X20" t="inlineStr">
        <is>
          <t>1993-03-05</t>
        </is>
      </c>
      <c r="Y20" t="n">
        <v>62</v>
      </c>
      <c r="Z20" t="n">
        <v>38</v>
      </c>
      <c r="AA20" t="n">
        <v>44</v>
      </c>
      <c r="AB20" t="n">
        <v>1</v>
      </c>
      <c r="AC20" t="n">
        <v>1</v>
      </c>
      <c r="AD20" t="n">
        <v>1</v>
      </c>
      <c r="AE20" t="n">
        <v>1</v>
      </c>
      <c r="AF20" t="n">
        <v>0</v>
      </c>
      <c r="AG20" t="n">
        <v>0</v>
      </c>
      <c r="AH20" t="n">
        <v>1</v>
      </c>
      <c r="AI20" t="n">
        <v>1</v>
      </c>
      <c r="AJ20" t="n">
        <v>1</v>
      </c>
      <c r="AK20" t="n">
        <v>1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HYPERLINK("http://catalog.hathitrust.org/Record/102072145","HathiTrust Record")</f>
        <v/>
      </c>
      <c r="AS20">
        <f>HYPERLINK("https://creighton-primo.hosted.exlibrisgroup.com/primo-explore/search?tab=default_tab&amp;search_scope=EVERYTHING&amp;vid=01CRU&amp;lang=en_US&amp;offset=0&amp;query=any,contains,991005406219702656","Catalog Record")</f>
        <v/>
      </c>
      <c r="AT20">
        <f>HYPERLINK("http://www.worldcat.org/oclc/13120865","WorldCat Record")</f>
        <v/>
      </c>
      <c r="AU20" t="inlineStr">
        <is>
          <t>32285001547768</t>
        </is>
      </c>
      <c r="AV20" t="inlineStr">
        <is>
          <t>893319598</t>
        </is>
      </c>
    </row>
    <row r="21">
      <c r="A21" t="inlineStr">
        <is>
          <t>No</t>
        </is>
      </c>
      <c r="B21" t="inlineStr">
        <is>
          <t>R128.3 .W8</t>
        </is>
      </c>
      <c r="C21" t="inlineStr">
        <is>
          <t>0                      R  0128300W  8</t>
        </is>
      </c>
      <c r="D21" t="inlineStr">
        <is>
          <t>Geschichte der Arabischen aerzte und naturforscher / Nach den quellen bearbeitet von Ferdinand Wüstenfeld.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Wüstenfeld, Ferdinand, 1808-1899.</t>
        </is>
      </c>
      <c r="L21" t="inlineStr">
        <is>
          <t>New York : Georg Olms Verlag, 1978.</t>
        </is>
      </c>
      <c r="M21" t="inlineStr">
        <is>
          <t>1978</t>
        </is>
      </c>
      <c r="O21" t="inlineStr">
        <is>
          <t>ger</t>
        </is>
      </c>
      <c r="P21" t="inlineStr">
        <is>
          <t>nyu</t>
        </is>
      </c>
      <c r="R21" t="inlineStr">
        <is>
          <t xml:space="preserve">R  </t>
        </is>
      </c>
      <c r="S21" t="n">
        <v>4</v>
      </c>
      <c r="T21" t="n">
        <v>4</v>
      </c>
      <c r="U21" t="inlineStr">
        <is>
          <t>1996-03-11</t>
        </is>
      </c>
      <c r="V21" t="inlineStr">
        <is>
          <t>1996-03-11</t>
        </is>
      </c>
      <c r="W21" t="inlineStr">
        <is>
          <t>1992-03-13</t>
        </is>
      </c>
      <c r="X21" t="inlineStr">
        <is>
          <t>1992-03-13</t>
        </is>
      </c>
      <c r="Y21" t="n">
        <v>10</v>
      </c>
      <c r="Z21" t="n">
        <v>7</v>
      </c>
      <c r="AA21" t="n">
        <v>9</v>
      </c>
      <c r="AB21" t="n">
        <v>1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HYPERLINK("https://creighton-primo.hosted.exlibrisgroup.com/primo-explore/search?tab=default_tab&amp;search_scope=EVERYTHING&amp;vid=01CRU&amp;lang=en_US&amp;offset=0&amp;query=any,contains,991004571429702656","Catalog Record")</f>
        <v/>
      </c>
      <c r="AT21">
        <f>HYPERLINK("http://www.worldcat.org/oclc/4032561","WorldCat Record")</f>
        <v/>
      </c>
      <c r="AU21" t="inlineStr">
        <is>
          <t>32285001547800</t>
        </is>
      </c>
      <c r="AV21" t="inlineStr">
        <is>
          <t>893332008</t>
        </is>
      </c>
    </row>
    <row r="22">
      <c r="A22" t="inlineStr">
        <is>
          <t>No</t>
        </is>
      </c>
      <c r="B22" t="inlineStr">
        <is>
          <t>R131 .C7</t>
        </is>
      </c>
      <c r="C22" t="inlineStr">
        <is>
          <t>0                      R  0131000C  7</t>
        </is>
      </c>
      <c r="D22" t="inlineStr">
        <is>
          <t>Divided legacy : a history of the schism in medical thought/ Harris L. Coulter.</t>
        </is>
      </c>
      <c r="E22" t="inlineStr">
        <is>
          <t>V.1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Coulter, Harris L. (Harris Livermore), 1932-</t>
        </is>
      </c>
      <c r="L22" t="inlineStr">
        <is>
          <t>Washington, Wehawken Book Co., 1973-94 [v. 1, 1975]</t>
        </is>
      </c>
      <c r="M22" t="inlineStr">
        <is>
          <t>1973</t>
        </is>
      </c>
      <c r="O22" t="inlineStr">
        <is>
          <t>eng</t>
        </is>
      </c>
      <c r="P22" t="inlineStr">
        <is>
          <t>dcu</t>
        </is>
      </c>
      <c r="R22" t="inlineStr">
        <is>
          <t xml:space="preserve">R  </t>
        </is>
      </c>
      <c r="S22" t="n">
        <v>1</v>
      </c>
      <c r="T22" t="n">
        <v>3</v>
      </c>
      <c r="U22" t="inlineStr">
        <is>
          <t>1999-03-18</t>
        </is>
      </c>
      <c r="V22" t="inlineStr">
        <is>
          <t>1999-03-18</t>
        </is>
      </c>
      <c r="W22" t="inlineStr">
        <is>
          <t>1998-02-11</t>
        </is>
      </c>
      <c r="X22" t="inlineStr">
        <is>
          <t>1998-02-11</t>
        </is>
      </c>
      <c r="Y22" t="n">
        <v>202</v>
      </c>
      <c r="Z22" t="n">
        <v>170</v>
      </c>
      <c r="AA22" t="n">
        <v>197</v>
      </c>
      <c r="AB22" t="n">
        <v>3</v>
      </c>
      <c r="AC22" t="n">
        <v>3</v>
      </c>
      <c r="AD22" t="n">
        <v>5</v>
      </c>
      <c r="AE22" t="n">
        <v>5</v>
      </c>
      <c r="AF22" t="n">
        <v>1</v>
      </c>
      <c r="AG22" t="n">
        <v>1</v>
      </c>
      <c r="AH22" t="n">
        <v>2</v>
      </c>
      <c r="AI22" t="n">
        <v>2</v>
      </c>
      <c r="AJ22" t="n">
        <v>1</v>
      </c>
      <c r="AK22" t="n">
        <v>1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HYPERLINK("http://catalog.hathitrust.org/Record/003088265","HathiTrust Record")</f>
        <v/>
      </c>
      <c r="AS22">
        <f>HYPERLINK("https://creighton-primo.hosted.exlibrisgroup.com/primo-explore/search?tab=default_tab&amp;search_scope=EVERYTHING&amp;vid=01CRU&amp;lang=en_US&amp;offset=0&amp;query=any,contains,991001773189702656","Catalog Record")</f>
        <v/>
      </c>
      <c r="AT22">
        <f>HYPERLINK("http://www.worldcat.org/oclc/1009084","WorldCat Record")</f>
        <v/>
      </c>
      <c r="AU22" t="inlineStr">
        <is>
          <t>32285001547867</t>
        </is>
      </c>
      <c r="AV22" t="inlineStr">
        <is>
          <t>893325744</t>
        </is>
      </c>
    </row>
    <row r="23">
      <c r="A23" t="inlineStr">
        <is>
          <t>No</t>
        </is>
      </c>
      <c r="B23" t="inlineStr">
        <is>
          <t>R131 .C7</t>
        </is>
      </c>
      <c r="C23" t="inlineStr">
        <is>
          <t>0                      R  0131000C  7</t>
        </is>
      </c>
      <c r="D23" t="inlineStr">
        <is>
          <t>Divided legacy : a history of the schism in medical thought/ Harris L. Coulter.</t>
        </is>
      </c>
      <c r="E23" t="inlineStr">
        <is>
          <t>V.2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Coulter, Harris L. (Harris Livermore), 1932-</t>
        </is>
      </c>
      <c r="L23" t="inlineStr">
        <is>
          <t>Washington, Wehawken Book Co., 1973-94 [v. 1, 1975]</t>
        </is>
      </c>
      <c r="M23" t="inlineStr">
        <is>
          <t>1973</t>
        </is>
      </c>
      <c r="O23" t="inlineStr">
        <is>
          <t>eng</t>
        </is>
      </c>
      <c r="P23" t="inlineStr">
        <is>
          <t>dcu</t>
        </is>
      </c>
      <c r="R23" t="inlineStr">
        <is>
          <t xml:space="preserve">R  </t>
        </is>
      </c>
      <c r="S23" t="n">
        <v>1</v>
      </c>
      <c r="T23" t="n">
        <v>3</v>
      </c>
      <c r="U23" t="inlineStr">
        <is>
          <t>1999-03-18</t>
        </is>
      </c>
      <c r="V23" t="inlineStr">
        <is>
          <t>1999-03-18</t>
        </is>
      </c>
      <c r="W23" t="inlineStr">
        <is>
          <t>1998-02-11</t>
        </is>
      </c>
      <c r="X23" t="inlineStr">
        <is>
          <t>1998-02-11</t>
        </is>
      </c>
      <c r="Y23" t="n">
        <v>202</v>
      </c>
      <c r="Z23" t="n">
        <v>170</v>
      </c>
      <c r="AA23" t="n">
        <v>197</v>
      </c>
      <c r="AB23" t="n">
        <v>3</v>
      </c>
      <c r="AC23" t="n">
        <v>3</v>
      </c>
      <c r="AD23" t="n">
        <v>5</v>
      </c>
      <c r="AE23" t="n">
        <v>5</v>
      </c>
      <c r="AF23" t="n">
        <v>1</v>
      </c>
      <c r="AG23" t="n">
        <v>1</v>
      </c>
      <c r="AH23" t="n">
        <v>2</v>
      </c>
      <c r="AI23" t="n">
        <v>2</v>
      </c>
      <c r="AJ23" t="n">
        <v>1</v>
      </c>
      <c r="AK23" t="n">
        <v>1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HYPERLINK("http://catalog.hathitrust.org/Record/003088265","HathiTrust Record")</f>
        <v/>
      </c>
      <c r="AS23">
        <f>HYPERLINK("https://creighton-primo.hosted.exlibrisgroup.com/primo-explore/search?tab=default_tab&amp;search_scope=EVERYTHING&amp;vid=01CRU&amp;lang=en_US&amp;offset=0&amp;query=any,contains,991001773189702656","Catalog Record")</f>
        <v/>
      </c>
      <c r="AT23">
        <f>HYPERLINK("http://www.worldcat.org/oclc/1009084","WorldCat Record")</f>
        <v/>
      </c>
      <c r="AU23" t="inlineStr">
        <is>
          <t>32285001547859</t>
        </is>
      </c>
      <c r="AV23" t="inlineStr">
        <is>
          <t>893332009</t>
        </is>
      </c>
    </row>
    <row r="24">
      <c r="A24" t="inlineStr">
        <is>
          <t>No</t>
        </is>
      </c>
      <c r="B24" t="inlineStr">
        <is>
          <t>R131 .C7</t>
        </is>
      </c>
      <c r="C24" t="inlineStr">
        <is>
          <t>0                      R  0131000C  7</t>
        </is>
      </c>
      <c r="D24" t="inlineStr">
        <is>
          <t>Divided legacy : a history of the schism in medical thought/ Harris L. Coulter.</t>
        </is>
      </c>
      <c r="E24" t="inlineStr">
        <is>
          <t>V.3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Coulter, Harris L. (Harris Livermore), 1932-</t>
        </is>
      </c>
      <c r="L24" t="inlineStr">
        <is>
          <t>Washington, Wehawken Book Co., 1973-94 [v. 1, 1975]</t>
        </is>
      </c>
      <c r="M24" t="inlineStr">
        <is>
          <t>1973</t>
        </is>
      </c>
      <c r="O24" t="inlineStr">
        <is>
          <t>eng</t>
        </is>
      </c>
      <c r="P24" t="inlineStr">
        <is>
          <t>dcu</t>
        </is>
      </c>
      <c r="R24" t="inlineStr">
        <is>
          <t xml:space="preserve">R  </t>
        </is>
      </c>
      <c r="S24" t="n">
        <v>1</v>
      </c>
      <c r="T24" t="n">
        <v>3</v>
      </c>
      <c r="U24" t="inlineStr">
        <is>
          <t>1999-03-18</t>
        </is>
      </c>
      <c r="V24" t="inlineStr">
        <is>
          <t>1999-03-18</t>
        </is>
      </c>
      <c r="W24" t="inlineStr">
        <is>
          <t>1998-02-11</t>
        </is>
      </c>
      <c r="X24" t="inlineStr">
        <is>
          <t>1998-02-11</t>
        </is>
      </c>
      <c r="Y24" t="n">
        <v>202</v>
      </c>
      <c r="Z24" t="n">
        <v>170</v>
      </c>
      <c r="AA24" t="n">
        <v>197</v>
      </c>
      <c r="AB24" t="n">
        <v>3</v>
      </c>
      <c r="AC24" t="n">
        <v>3</v>
      </c>
      <c r="AD24" t="n">
        <v>5</v>
      </c>
      <c r="AE24" t="n">
        <v>5</v>
      </c>
      <c r="AF24" t="n">
        <v>1</v>
      </c>
      <c r="AG24" t="n">
        <v>1</v>
      </c>
      <c r="AH24" t="n">
        <v>2</v>
      </c>
      <c r="AI24" t="n">
        <v>2</v>
      </c>
      <c r="AJ24" t="n">
        <v>1</v>
      </c>
      <c r="AK24" t="n">
        <v>1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HYPERLINK("http://catalog.hathitrust.org/Record/003088265","HathiTrust Record")</f>
        <v/>
      </c>
      <c r="AS24">
        <f>HYPERLINK("https://creighton-primo.hosted.exlibrisgroup.com/primo-explore/search?tab=default_tab&amp;search_scope=EVERYTHING&amp;vid=01CRU&amp;lang=en_US&amp;offset=0&amp;query=any,contains,991001773189702656","Catalog Record")</f>
        <v/>
      </c>
      <c r="AT24">
        <f>HYPERLINK("http://www.worldcat.org/oclc/1009084","WorldCat Record")</f>
        <v/>
      </c>
      <c r="AU24" t="inlineStr">
        <is>
          <t>32285001547875</t>
        </is>
      </c>
      <c r="AV24" t="inlineStr">
        <is>
          <t>893319597</t>
        </is>
      </c>
    </row>
    <row r="25">
      <c r="A25" t="inlineStr">
        <is>
          <t>No</t>
        </is>
      </c>
      <c r="B25" t="inlineStr">
        <is>
          <t>R131 .D78 1979</t>
        </is>
      </c>
      <c r="C25" t="inlineStr">
        <is>
          <t>0                      R  0131000D  78          1979</t>
        </is>
      </c>
      <c r="D25" t="inlineStr">
        <is>
          <t>Mirage of health : utopias, progress, and biological change / by René Dubos.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Dubos, René J. (René Jules), 1901-1982.</t>
        </is>
      </c>
      <c r="L25" t="inlineStr">
        <is>
          <t>New York : Harper &amp; Row, 1979, c1959.</t>
        </is>
      </c>
      <c r="M25" t="inlineStr">
        <is>
          <t>1979</t>
        </is>
      </c>
      <c r="O25" t="inlineStr">
        <is>
          <t>eng</t>
        </is>
      </c>
      <c r="P25" t="inlineStr">
        <is>
          <t>nyu</t>
        </is>
      </c>
      <c r="Q25" t="inlineStr">
        <is>
          <t>Harper colophon books ; CN 677</t>
        </is>
      </c>
      <c r="R25" t="inlineStr">
        <is>
          <t xml:space="preserve">R  </t>
        </is>
      </c>
      <c r="S25" t="n">
        <v>6</v>
      </c>
      <c r="T25" t="n">
        <v>6</v>
      </c>
      <c r="U25" t="inlineStr">
        <is>
          <t>2003-02-26</t>
        </is>
      </c>
      <c r="V25" t="inlineStr">
        <is>
          <t>2003-02-26</t>
        </is>
      </c>
      <c r="W25" t="inlineStr">
        <is>
          <t>1993-03-05</t>
        </is>
      </c>
      <c r="X25" t="inlineStr">
        <is>
          <t>1993-03-05</t>
        </is>
      </c>
      <c r="Y25" t="n">
        <v>116</v>
      </c>
      <c r="Z25" t="n">
        <v>100</v>
      </c>
      <c r="AA25" t="n">
        <v>769</v>
      </c>
      <c r="AB25" t="n">
        <v>1</v>
      </c>
      <c r="AC25" t="n">
        <v>3</v>
      </c>
      <c r="AD25" t="n">
        <v>3</v>
      </c>
      <c r="AE25" t="n">
        <v>30</v>
      </c>
      <c r="AF25" t="n">
        <v>2</v>
      </c>
      <c r="AG25" t="n">
        <v>11</v>
      </c>
      <c r="AH25" t="n">
        <v>0</v>
      </c>
      <c r="AI25" t="n">
        <v>5</v>
      </c>
      <c r="AJ25" t="n">
        <v>2</v>
      </c>
      <c r="AK25" t="n">
        <v>20</v>
      </c>
      <c r="AL25" t="n">
        <v>0</v>
      </c>
      <c r="AM25" t="n">
        <v>2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HYPERLINK("http://catalog.hathitrust.org/Record/000271205","HathiTrust Record")</f>
        <v/>
      </c>
      <c r="AS25">
        <f>HYPERLINK("https://creighton-primo.hosted.exlibrisgroup.com/primo-explore/search?tab=default_tab&amp;search_scope=EVERYTHING&amp;vid=01CRU&amp;lang=en_US&amp;offset=0&amp;query=any,contains,991004705269702656","Catalog Record")</f>
        <v/>
      </c>
      <c r="AT25">
        <f>HYPERLINK("http://www.worldcat.org/oclc/4706431","WorldCat Record")</f>
        <v/>
      </c>
      <c r="AU25" t="inlineStr">
        <is>
          <t>32285001547776</t>
        </is>
      </c>
      <c r="AV25" t="inlineStr">
        <is>
          <t>893319596</t>
        </is>
      </c>
    </row>
    <row r="26">
      <c r="A26" t="inlineStr">
        <is>
          <t>No</t>
        </is>
      </c>
      <c r="B26" t="inlineStr">
        <is>
          <t>R131 .E78</t>
        </is>
      </c>
      <c r="C26" t="inlineStr">
        <is>
          <t>0                      R  0131000E  78</t>
        </is>
      </c>
      <c r="D26" t="inlineStr">
        <is>
          <t>Essays on the history of medicine : selected from the Bulletin of the New York Academy of Medicine / edited by Saul Jarcho.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New York : Science History Publications, c1976.</t>
        </is>
      </c>
      <c r="M26" t="inlineStr">
        <is>
          <t>1976</t>
        </is>
      </c>
      <c r="O26" t="inlineStr">
        <is>
          <t>eng</t>
        </is>
      </c>
      <c r="P26" t="inlineStr">
        <is>
          <t>nyu</t>
        </is>
      </c>
      <c r="Q26" t="inlineStr">
        <is>
          <t>The History of medicine series ; no. 47</t>
        </is>
      </c>
      <c r="R26" t="inlineStr">
        <is>
          <t xml:space="preserve">R  </t>
        </is>
      </c>
      <c r="S26" t="n">
        <v>21</v>
      </c>
      <c r="T26" t="n">
        <v>21</v>
      </c>
      <c r="U26" t="inlineStr">
        <is>
          <t>2005-03-14</t>
        </is>
      </c>
      <c r="V26" t="inlineStr">
        <is>
          <t>2005-03-14</t>
        </is>
      </c>
      <c r="W26" t="inlineStr">
        <is>
          <t>1994-05-04</t>
        </is>
      </c>
      <c r="X26" t="inlineStr">
        <is>
          <t>1994-05-04</t>
        </is>
      </c>
      <c r="Y26" t="n">
        <v>182</v>
      </c>
      <c r="Z26" t="n">
        <v>131</v>
      </c>
      <c r="AA26" t="n">
        <v>132</v>
      </c>
      <c r="AB26" t="n">
        <v>3</v>
      </c>
      <c r="AC26" t="n">
        <v>3</v>
      </c>
      <c r="AD26" t="n">
        <v>5</v>
      </c>
      <c r="AE26" t="n">
        <v>5</v>
      </c>
      <c r="AF26" t="n">
        <v>1</v>
      </c>
      <c r="AG26" t="n">
        <v>1</v>
      </c>
      <c r="AH26" t="n">
        <v>0</v>
      </c>
      <c r="AI26" t="n">
        <v>0</v>
      </c>
      <c r="AJ26" t="n">
        <v>2</v>
      </c>
      <c r="AK26" t="n">
        <v>2</v>
      </c>
      <c r="AL26" t="n">
        <v>2</v>
      </c>
      <c r="AM26" t="n">
        <v>2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HYPERLINK("https://creighton-primo.hosted.exlibrisgroup.com/primo-explore/search?tab=default_tab&amp;search_scope=EVERYTHING&amp;vid=01CRU&amp;lang=en_US&amp;offset=0&amp;query=any,contains,991005369449702656","Catalog Record")</f>
        <v/>
      </c>
      <c r="AT26">
        <f>HYPERLINK("http://www.worldcat.org/oclc/2188973","WorldCat Record")</f>
        <v/>
      </c>
      <c r="AU26" t="inlineStr">
        <is>
          <t>32285001547818</t>
        </is>
      </c>
      <c r="AV26" t="inlineStr">
        <is>
          <t>893332007</t>
        </is>
      </c>
    </row>
    <row r="27">
      <c r="A27" t="inlineStr">
        <is>
          <t>No</t>
        </is>
      </c>
      <c r="B27" t="inlineStr">
        <is>
          <t>R131 .G3 1929</t>
        </is>
      </c>
      <c r="C27" t="inlineStr">
        <is>
          <t>0                      R  0131000G  3           1929</t>
        </is>
      </c>
      <c r="D27" t="inlineStr">
        <is>
          <t>An introduction to the history of medicine : with medical chronology, suggestions for study and bibliographic data / by Fielding H. Garrison.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Garrison, Fielding H. (Fielding Hudson), 1870-1935.</t>
        </is>
      </c>
      <c r="L27" t="inlineStr">
        <is>
          <t>Philadelphia ; London : W.B. Saunders Company, 1929.</t>
        </is>
      </c>
      <c r="M27" t="inlineStr">
        <is>
          <t>1929</t>
        </is>
      </c>
      <c r="N27" t="inlineStr">
        <is>
          <t>4th ed., rev. and enl.</t>
        </is>
      </c>
      <c r="O27" t="inlineStr">
        <is>
          <t>eng</t>
        </is>
      </c>
      <c r="P27" t="inlineStr">
        <is>
          <t>pau</t>
        </is>
      </c>
      <c r="R27" t="inlineStr">
        <is>
          <t xml:space="preserve">R  </t>
        </is>
      </c>
      <c r="S27" t="n">
        <v>4</v>
      </c>
      <c r="T27" t="n">
        <v>4</v>
      </c>
      <c r="U27" t="inlineStr">
        <is>
          <t>1994-11-01</t>
        </is>
      </c>
      <c r="V27" t="inlineStr">
        <is>
          <t>1994-11-01</t>
        </is>
      </c>
      <c r="W27" t="inlineStr">
        <is>
          <t>1992-12-17</t>
        </is>
      </c>
      <c r="X27" t="inlineStr">
        <is>
          <t>1992-12-17</t>
        </is>
      </c>
      <c r="Y27" t="n">
        <v>839</v>
      </c>
      <c r="Z27" t="n">
        <v>747</v>
      </c>
      <c r="AA27" t="n">
        <v>955</v>
      </c>
      <c r="AB27" t="n">
        <v>6</v>
      </c>
      <c r="AC27" t="n">
        <v>8</v>
      </c>
      <c r="AD27" t="n">
        <v>24</v>
      </c>
      <c r="AE27" t="n">
        <v>30</v>
      </c>
      <c r="AF27" t="n">
        <v>10</v>
      </c>
      <c r="AG27" t="n">
        <v>12</v>
      </c>
      <c r="AH27" t="n">
        <v>3</v>
      </c>
      <c r="AI27" t="n">
        <v>4</v>
      </c>
      <c r="AJ27" t="n">
        <v>11</v>
      </c>
      <c r="AK27" t="n">
        <v>13</v>
      </c>
      <c r="AL27" t="n">
        <v>4</v>
      </c>
      <c r="AM27" t="n">
        <v>6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HYPERLINK("http://catalog.hathitrust.org/Record/001557007","HathiTrust Record")</f>
        <v/>
      </c>
      <c r="AS27">
        <f>HYPERLINK("https://creighton-primo.hosted.exlibrisgroup.com/primo-explore/search?tab=default_tab&amp;search_scope=EVERYTHING&amp;vid=01CRU&amp;lang=en_US&amp;offset=0&amp;query=any,contains,991001773229702656","Catalog Record")</f>
        <v/>
      </c>
      <c r="AT27">
        <f>HYPERLINK("http://www.worldcat.org/oclc/422786","WorldCat Record")</f>
        <v/>
      </c>
      <c r="AU27" t="inlineStr">
        <is>
          <t>32285001547883</t>
        </is>
      </c>
      <c r="AV27" t="inlineStr">
        <is>
          <t>893507876</t>
        </is>
      </c>
    </row>
    <row r="28">
      <c r="A28" t="inlineStr">
        <is>
          <t>No</t>
        </is>
      </c>
      <c r="B28" t="inlineStr">
        <is>
          <t>R131 .M27</t>
        </is>
      </c>
      <c r="C28" t="inlineStr">
        <is>
          <t>0                      R  0131000M  27</t>
        </is>
      </c>
      <c r="D28" t="inlineStr">
        <is>
          <t>Centaur; essays on the history of medical ideas.</t>
        </is>
      </c>
      <c r="F28" t="inlineStr">
        <is>
          <t>No</t>
        </is>
      </c>
      <c r="G28" t="inlineStr">
        <is>
          <t>1</t>
        </is>
      </c>
      <c r="H28" t="inlineStr">
        <is>
          <t>Yes</t>
        </is>
      </c>
      <c r="I28" t="inlineStr">
        <is>
          <t>No</t>
        </is>
      </c>
      <c r="J28" t="inlineStr">
        <is>
          <t>0</t>
        </is>
      </c>
      <c r="K28" t="inlineStr">
        <is>
          <t>Martí-Ibáñez, Félix, 1915-1972.</t>
        </is>
      </c>
      <c r="L28" t="inlineStr">
        <is>
          <t>New York, MD Publications [1958]</t>
        </is>
      </c>
      <c r="M28" t="inlineStr">
        <is>
          <t>1958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R  </t>
        </is>
      </c>
      <c r="S28" t="n">
        <v>1</v>
      </c>
      <c r="T28" t="n">
        <v>1</v>
      </c>
      <c r="U28" t="inlineStr">
        <is>
          <t>2010-04-10</t>
        </is>
      </c>
      <c r="V28" t="inlineStr">
        <is>
          <t>2010-04-10</t>
        </is>
      </c>
      <c r="W28" t="inlineStr">
        <is>
          <t>1997-08-07</t>
        </is>
      </c>
      <c r="X28" t="inlineStr">
        <is>
          <t>1997-08-07</t>
        </is>
      </c>
      <c r="Y28" t="n">
        <v>369</v>
      </c>
      <c r="Z28" t="n">
        <v>310</v>
      </c>
      <c r="AA28" t="n">
        <v>317</v>
      </c>
      <c r="AB28" t="n">
        <v>4</v>
      </c>
      <c r="AC28" t="n">
        <v>4</v>
      </c>
      <c r="AD28" t="n">
        <v>9</v>
      </c>
      <c r="AE28" t="n">
        <v>9</v>
      </c>
      <c r="AF28" t="n">
        <v>3</v>
      </c>
      <c r="AG28" t="n">
        <v>3</v>
      </c>
      <c r="AH28" t="n">
        <v>2</v>
      </c>
      <c r="AI28" t="n">
        <v>2</v>
      </c>
      <c r="AJ28" t="n">
        <v>6</v>
      </c>
      <c r="AK28" t="n">
        <v>6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R28">
        <f>HYPERLINK("http://catalog.hathitrust.org/Record/001557024","HathiTrust Record")</f>
        <v/>
      </c>
      <c r="AS28">
        <f>HYPERLINK("https://creighton-primo.hosted.exlibrisgroup.com/primo-explore/search?tab=default_tab&amp;search_scope=EVERYTHING&amp;vid=01CRU&amp;lang=en_US&amp;offset=0&amp;query=any,contains,991001778129702656","Catalog Record")</f>
        <v/>
      </c>
      <c r="AT28">
        <f>HYPERLINK("http://www.worldcat.org/oclc/339430","WorldCat Record")</f>
        <v/>
      </c>
      <c r="AU28" t="inlineStr">
        <is>
          <t>32285000886886</t>
        </is>
      </c>
      <c r="AV28" t="inlineStr">
        <is>
          <t>893897150</t>
        </is>
      </c>
    </row>
    <row r="29">
      <c r="A29" t="inlineStr">
        <is>
          <t>No</t>
        </is>
      </c>
      <c r="B29" t="inlineStr">
        <is>
          <t>R133.6 .H53 1995</t>
        </is>
      </c>
      <c r="C29" t="inlineStr">
        <is>
          <t>0                      R  0133600H  53          1995</t>
        </is>
      </c>
      <c r="D29" t="inlineStr">
        <is>
          <t>Hidden histories of science / edited by Robert B. Silvers.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New York : New York Review of Books, c1995.</t>
        </is>
      </c>
      <c r="M29" t="inlineStr">
        <is>
          <t>1995</t>
        </is>
      </c>
      <c r="N29" t="inlineStr">
        <is>
          <t>1st ed.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R  </t>
        </is>
      </c>
      <c r="S29" t="n">
        <v>8</v>
      </c>
      <c r="T29" t="n">
        <v>8</v>
      </c>
      <c r="U29" t="inlineStr">
        <is>
          <t>2000-02-01</t>
        </is>
      </c>
      <c r="V29" t="inlineStr">
        <is>
          <t>2000-02-01</t>
        </is>
      </c>
      <c r="W29" t="inlineStr">
        <is>
          <t>1995-12-05</t>
        </is>
      </c>
      <c r="X29" t="inlineStr">
        <is>
          <t>1995-12-05</t>
        </is>
      </c>
      <c r="Y29" t="n">
        <v>496</v>
      </c>
      <c r="Z29" t="n">
        <v>421</v>
      </c>
      <c r="AA29" t="n">
        <v>444</v>
      </c>
      <c r="AB29" t="n">
        <v>3</v>
      </c>
      <c r="AC29" t="n">
        <v>3</v>
      </c>
      <c r="AD29" t="n">
        <v>13</v>
      </c>
      <c r="AE29" t="n">
        <v>14</v>
      </c>
      <c r="AF29" t="n">
        <v>4</v>
      </c>
      <c r="AG29" t="n">
        <v>4</v>
      </c>
      <c r="AH29" t="n">
        <v>5</v>
      </c>
      <c r="AI29" t="n">
        <v>5</v>
      </c>
      <c r="AJ29" t="n">
        <v>6</v>
      </c>
      <c r="AK29" t="n">
        <v>7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HYPERLINK("http://catalog.hathitrust.org/Record/002979206","HathiTrust Record")</f>
        <v/>
      </c>
      <c r="AS29">
        <f>HYPERLINK("https://creighton-primo.hosted.exlibrisgroup.com/primo-explore/search?tab=default_tab&amp;search_scope=EVERYTHING&amp;vid=01CRU&amp;lang=en_US&amp;offset=0&amp;query=any,contains,991002452379702656","Catalog Record")</f>
        <v/>
      </c>
      <c r="AT29">
        <f>HYPERLINK("http://www.worldcat.org/oclc/31971411","WorldCat Record")</f>
        <v/>
      </c>
      <c r="AU29" t="inlineStr">
        <is>
          <t>32285000885912</t>
        </is>
      </c>
      <c r="AV29" t="inlineStr">
        <is>
          <t>893601449</t>
        </is>
      </c>
    </row>
    <row r="30">
      <c r="A30" t="inlineStr">
        <is>
          <t>No</t>
        </is>
      </c>
      <c r="B30" t="inlineStr">
        <is>
          <t>R134 .A43 2001</t>
        </is>
      </c>
      <c r="C30" t="inlineStr">
        <is>
          <t>0                      R  0134000A  43          2001</t>
        </is>
      </c>
      <c r="D30" t="inlineStr">
        <is>
          <t>Medicos en la historia y en la vida / Rafael Alfáu Cambiaso.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Alfáu Cambiaso, Rafael, 1923-</t>
        </is>
      </c>
      <c r="L30" t="inlineStr">
        <is>
          <t>Santo Domingo, R.D. : Cocolo Editorial, 2001.</t>
        </is>
      </c>
      <c r="M30" t="inlineStr">
        <is>
          <t>2001</t>
        </is>
      </c>
      <c r="N30" t="inlineStr">
        <is>
          <t>1. ed.</t>
        </is>
      </c>
      <c r="O30" t="inlineStr">
        <is>
          <t>spa</t>
        </is>
      </c>
      <c r="P30" t="inlineStr">
        <is>
          <t xml:space="preserve">dr </t>
        </is>
      </c>
      <c r="R30" t="inlineStr">
        <is>
          <t xml:space="preserve">R  </t>
        </is>
      </c>
      <c r="S30" t="n">
        <v>1</v>
      </c>
      <c r="T30" t="n">
        <v>1</v>
      </c>
      <c r="U30" t="inlineStr">
        <is>
          <t>2002-02-19</t>
        </is>
      </c>
      <c r="V30" t="inlineStr">
        <is>
          <t>2002-02-19</t>
        </is>
      </c>
      <c r="W30" t="inlineStr">
        <is>
          <t>2002-02-19</t>
        </is>
      </c>
      <c r="X30" t="inlineStr">
        <is>
          <t>2002-02-19</t>
        </is>
      </c>
      <c r="Y30" t="n">
        <v>8</v>
      </c>
      <c r="Z30" t="n">
        <v>7</v>
      </c>
      <c r="AA30" t="n">
        <v>7</v>
      </c>
      <c r="AB30" t="n">
        <v>1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HYPERLINK("https://creighton-primo.hosted.exlibrisgroup.com/primo-explore/search?tab=default_tab&amp;search_scope=EVERYTHING&amp;vid=01CRU&amp;lang=en_US&amp;offset=0&amp;query=any,contains,991003720939702656","Catalog Record")</f>
        <v/>
      </c>
      <c r="AT30">
        <f>HYPERLINK("http://www.worldcat.org/oclc/48656305","WorldCat Record")</f>
        <v/>
      </c>
      <c r="AU30" t="inlineStr">
        <is>
          <t>32285001839421</t>
        </is>
      </c>
      <c r="AV30" t="inlineStr">
        <is>
          <t>893874374</t>
        </is>
      </c>
    </row>
    <row r="31">
      <c r="A31" t="inlineStr">
        <is>
          <t>No</t>
        </is>
      </c>
      <c r="B31" t="inlineStr">
        <is>
          <t>R135 .M34</t>
        </is>
      </c>
      <c r="C31" t="inlineStr">
        <is>
          <t>0                      R  0135000M  34</t>
        </is>
      </c>
      <c r="D31" t="inlineStr">
        <is>
          <t>The healing hand : man and wound in the ancient world / Guido Majno.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Majno, Guido.</t>
        </is>
      </c>
      <c r="L31" t="inlineStr">
        <is>
          <t>Cambridge, Mass. : Harvard University Press, 1975.</t>
        </is>
      </c>
      <c r="M31" t="inlineStr">
        <is>
          <t>1975</t>
        </is>
      </c>
      <c r="O31" t="inlineStr">
        <is>
          <t>eng</t>
        </is>
      </c>
      <c r="P31" t="inlineStr">
        <is>
          <t>mau</t>
        </is>
      </c>
      <c r="R31" t="inlineStr">
        <is>
          <t xml:space="preserve">R  </t>
        </is>
      </c>
      <c r="S31" t="n">
        <v>18</v>
      </c>
      <c r="T31" t="n">
        <v>18</v>
      </c>
      <c r="U31" t="inlineStr">
        <is>
          <t>2006-03-13</t>
        </is>
      </c>
      <c r="V31" t="inlineStr">
        <is>
          <t>2006-03-13</t>
        </is>
      </c>
      <c r="W31" t="inlineStr">
        <is>
          <t>1994-02-14</t>
        </is>
      </c>
      <c r="X31" t="inlineStr">
        <is>
          <t>1994-02-14</t>
        </is>
      </c>
      <c r="Y31" t="n">
        <v>1321</v>
      </c>
      <c r="Z31" t="n">
        <v>1140</v>
      </c>
      <c r="AA31" t="n">
        <v>1234</v>
      </c>
      <c r="AB31" t="n">
        <v>8</v>
      </c>
      <c r="AC31" t="n">
        <v>9</v>
      </c>
      <c r="AD31" t="n">
        <v>38</v>
      </c>
      <c r="AE31" t="n">
        <v>47</v>
      </c>
      <c r="AF31" t="n">
        <v>18</v>
      </c>
      <c r="AG31" t="n">
        <v>21</v>
      </c>
      <c r="AH31" t="n">
        <v>10</v>
      </c>
      <c r="AI31" t="n">
        <v>11</v>
      </c>
      <c r="AJ31" t="n">
        <v>17</v>
      </c>
      <c r="AK31" t="n">
        <v>23</v>
      </c>
      <c r="AL31" t="n">
        <v>5</v>
      </c>
      <c r="AM31" t="n">
        <v>6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HYPERLINK("http://catalog.hathitrust.org/Record/000023043","HathiTrust Record")</f>
        <v/>
      </c>
      <c r="AS31">
        <f>HYPERLINK("https://creighton-primo.hosted.exlibrisgroup.com/primo-explore/search?tab=default_tab&amp;search_scope=EVERYTHING&amp;vid=01CRU&amp;lang=en_US&amp;offset=0&amp;query=any,contains,991001741029702656","Catalog Record")</f>
        <v/>
      </c>
      <c r="AT31">
        <f>HYPERLINK("http://www.worldcat.org/oclc/1418536","WorldCat Record")</f>
        <v/>
      </c>
      <c r="AU31" t="inlineStr">
        <is>
          <t>32285001130193</t>
        </is>
      </c>
      <c r="AV31" t="inlineStr">
        <is>
          <t>893708566</t>
        </is>
      </c>
    </row>
    <row r="32">
      <c r="A32" t="inlineStr">
        <is>
          <t>No</t>
        </is>
      </c>
      <c r="B32" t="inlineStr">
        <is>
          <t>R135.5 .G72 1977</t>
        </is>
      </c>
      <c r="C32" t="inlineStr">
        <is>
          <t>0                      R  0135500G  72          1977</t>
        </is>
      </c>
      <c r="D32" t="inlineStr">
        <is>
          <t>Search the Scriptures : modern medicine and Biblical personages / Robert B. Greenblatt ; foreword by Henry King Stanford.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Greenblatt, Robert B. (Robert Benjamin), 1906-1987.</t>
        </is>
      </c>
      <c r="L32" t="inlineStr">
        <is>
          <t>Philadelphia : Lippincott, c1977.</t>
        </is>
      </c>
      <c r="M32" t="inlineStr">
        <is>
          <t>1977</t>
        </is>
      </c>
      <c r="N32" t="inlineStr">
        <is>
          <t>3d and enl. ed.</t>
        </is>
      </c>
      <c r="O32" t="inlineStr">
        <is>
          <t>eng</t>
        </is>
      </c>
      <c r="P32" t="inlineStr">
        <is>
          <t>pau</t>
        </is>
      </c>
      <c r="R32" t="inlineStr">
        <is>
          <t xml:space="preserve">R  </t>
        </is>
      </c>
      <c r="S32" t="n">
        <v>10</v>
      </c>
      <c r="T32" t="n">
        <v>10</v>
      </c>
      <c r="U32" t="inlineStr">
        <is>
          <t>2002-09-13</t>
        </is>
      </c>
      <c r="V32" t="inlineStr">
        <is>
          <t>2002-09-13</t>
        </is>
      </c>
      <c r="W32" t="inlineStr">
        <is>
          <t>1992-10-26</t>
        </is>
      </c>
      <c r="X32" t="inlineStr">
        <is>
          <t>1992-10-26</t>
        </is>
      </c>
      <c r="Y32" t="n">
        <v>208</v>
      </c>
      <c r="Z32" t="n">
        <v>165</v>
      </c>
      <c r="AA32" t="n">
        <v>336</v>
      </c>
      <c r="AB32" t="n">
        <v>2</v>
      </c>
      <c r="AC32" t="n">
        <v>2</v>
      </c>
      <c r="AD32" t="n">
        <v>3</v>
      </c>
      <c r="AE32" t="n">
        <v>11</v>
      </c>
      <c r="AF32" t="n">
        <v>0</v>
      </c>
      <c r="AG32" t="n">
        <v>3</v>
      </c>
      <c r="AH32" t="n">
        <v>2</v>
      </c>
      <c r="AI32" t="n">
        <v>4</v>
      </c>
      <c r="AJ32" t="n">
        <v>0</v>
      </c>
      <c r="AK32" t="n">
        <v>4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HYPERLINK("http://catalog.hathitrust.org/Record/102215301","HathiTrust Record")</f>
        <v/>
      </c>
      <c r="AS32">
        <f>HYPERLINK("https://creighton-primo.hosted.exlibrisgroup.com/primo-explore/search?tab=default_tab&amp;search_scope=EVERYTHING&amp;vid=01CRU&amp;lang=en_US&amp;offset=0&amp;query=any,contains,991005369949702656","Catalog Record")</f>
        <v/>
      </c>
      <c r="AT32">
        <f>HYPERLINK("http://www.worldcat.org/oclc/2598622","WorldCat Record")</f>
        <v/>
      </c>
      <c r="AU32" t="inlineStr">
        <is>
          <t>32285003676912</t>
        </is>
      </c>
      <c r="AV32" t="inlineStr">
        <is>
          <t>893524009</t>
        </is>
      </c>
    </row>
    <row r="33">
      <c r="A33" t="inlineStr">
        <is>
          <t>No</t>
        </is>
      </c>
      <c r="B33" t="inlineStr">
        <is>
          <t>R135.5 .J3 1975</t>
        </is>
      </c>
      <c r="C33" t="inlineStr">
        <is>
          <t>0                      R  0135500J  3           1975</t>
        </is>
      </c>
      <c r="D33" t="inlineStr">
        <is>
          <t>Jewish medical ethics : a comparative and historical study of the Jewish religious attitude to medicine and its practice / by Immanuel Jakobovits.</t>
        </is>
      </c>
      <c r="F33" t="inlineStr">
        <is>
          <t>No</t>
        </is>
      </c>
      <c r="G33" t="inlineStr">
        <is>
          <t>1</t>
        </is>
      </c>
      <c r="H33" t="inlineStr">
        <is>
          <t>Yes</t>
        </is>
      </c>
      <c r="I33" t="inlineStr">
        <is>
          <t>No</t>
        </is>
      </c>
      <c r="J33" t="inlineStr">
        <is>
          <t>0</t>
        </is>
      </c>
      <c r="K33" t="inlineStr">
        <is>
          <t>Jakobovits, Immanuel, Sir, 1921-1999.</t>
        </is>
      </c>
      <c r="L33" t="inlineStr">
        <is>
          <t>New York : Bloch Pub. Co., c1975.</t>
        </is>
      </c>
      <c r="M33" t="inlineStr">
        <is>
          <t>1975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R  </t>
        </is>
      </c>
      <c r="S33" t="n">
        <v>0</v>
      </c>
      <c r="T33" t="n">
        <v>3</v>
      </c>
      <c r="V33" t="inlineStr">
        <is>
          <t>2000-04-21</t>
        </is>
      </c>
      <c r="W33" t="inlineStr">
        <is>
          <t>1992-09-14</t>
        </is>
      </c>
      <c r="X33" t="inlineStr">
        <is>
          <t>1992-09-14</t>
        </is>
      </c>
      <c r="Y33" t="n">
        <v>377</v>
      </c>
      <c r="Z33" t="n">
        <v>320</v>
      </c>
      <c r="AA33" t="n">
        <v>493</v>
      </c>
      <c r="AB33" t="n">
        <v>3</v>
      </c>
      <c r="AC33" t="n">
        <v>4</v>
      </c>
      <c r="AD33" t="n">
        <v>14</v>
      </c>
      <c r="AE33" t="n">
        <v>23</v>
      </c>
      <c r="AF33" t="n">
        <v>4</v>
      </c>
      <c r="AG33" t="n">
        <v>6</v>
      </c>
      <c r="AH33" t="n">
        <v>4</v>
      </c>
      <c r="AI33" t="n">
        <v>7</v>
      </c>
      <c r="AJ33" t="n">
        <v>8</v>
      </c>
      <c r="AK33" t="n">
        <v>13</v>
      </c>
      <c r="AL33" t="n">
        <v>1</v>
      </c>
      <c r="AM33" t="n">
        <v>2</v>
      </c>
      <c r="AN33" t="n">
        <v>1</v>
      </c>
      <c r="AO33" t="n">
        <v>1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HYPERLINK("http://catalog.hathitrust.org/Record/000685674","HathiTrust Record")</f>
        <v/>
      </c>
      <c r="AS33">
        <f>HYPERLINK("https://creighton-primo.hosted.exlibrisgroup.com/primo-explore/search?tab=default_tab&amp;search_scope=EVERYTHING&amp;vid=01CRU&amp;lang=en_US&amp;offset=0&amp;query=any,contains,991001790679702656","Catalog Record")</f>
        <v/>
      </c>
      <c r="AT33">
        <f>HYPERLINK("http://www.worldcat.org/oclc/1750044","WorldCat Record")</f>
        <v/>
      </c>
      <c r="AU33" t="inlineStr">
        <is>
          <t>32285005532576</t>
        </is>
      </c>
      <c r="AV33" t="inlineStr">
        <is>
          <t>893879197</t>
        </is>
      </c>
    </row>
    <row r="34">
      <c r="A34" t="inlineStr">
        <is>
          <t>No</t>
        </is>
      </c>
      <c r="B34" t="inlineStr">
        <is>
          <t>R135.5 .K44 1986</t>
        </is>
      </c>
      <c r="C34" t="inlineStr">
        <is>
          <t>0                      R  0135500K  44          1986</t>
        </is>
      </c>
      <c r="D34" t="inlineStr">
        <is>
          <t>Medicine, miracle, and magic in New Testament times / H.C. Kee.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Kee, Howard Clark.</t>
        </is>
      </c>
      <c r="L34" t="inlineStr">
        <is>
          <t>Cambridge [Cambridgeshire] ; New York : Cambridge University Press, 1986.</t>
        </is>
      </c>
      <c r="M34" t="inlineStr">
        <is>
          <t>1986</t>
        </is>
      </c>
      <c r="O34" t="inlineStr">
        <is>
          <t>eng</t>
        </is>
      </c>
      <c r="P34" t="inlineStr">
        <is>
          <t>enk</t>
        </is>
      </c>
      <c r="Q34" t="inlineStr">
        <is>
          <t>Monograph series (Society for New Testament Studies) ; 55</t>
        </is>
      </c>
      <c r="R34" t="inlineStr">
        <is>
          <t xml:space="preserve">R  </t>
        </is>
      </c>
      <c r="S34" t="n">
        <v>26</v>
      </c>
      <c r="T34" t="n">
        <v>26</v>
      </c>
      <c r="U34" t="inlineStr">
        <is>
          <t>2006-03-13</t>
        </is>
      </c>
      <c r="V34" t="inlineStr">
        <is>
          <t>2006-03-13</t>
        </is>
      </c>
      <c r="W34" t="inlineStr">
        <is>
          <t>1993-02-17</t>
        </is>
      </c>
      <c r="X34" t="inlineStr">
        <is>
          <t>1993-02-17</t>
        </is>
      </c>
      <c r="Y34" t="n">
        <v>640</v>
      </c>
      <c r="Z34" t="n">
        <v>489</v>
      </c>
      <c r="AA34" t="n">
        <v>560</v>
      </c>
      <c r="AB34" t="n">
        <v>2</v>
      </c>
      <c r="AC34" t="n">
        <v>2</v>
      </c>
      <c r="AD34" t="n">
        <v>28</v>
      </c>
      <c r="AE34" t="n">
        <v>31</v>
      </c>
      <c r="AF34" t="n">
        <v>10</v>
      </c>
      <c r="AG34" t="n">
        <v>12</v>
      </c>
      <c r="AH34" t="n">
        <v>7</v>
      </c>
      <c r="AI34" t="n">
        <v>7</v>
      </c>
      <c r="AJ34" t="n">
        <v>18</v>
      </c>
      <c r="AK34" t="n">
        <v>20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HYPERLINK("https://creighton-primo.hosted.exlibrisgroup.com/primo-explore/search?tab=default_tab&amp;search_scope=EVERYTHING&amp;vid=01CRU&amp;lang=en_US&amp;offset=0&amp;query=any,contains,991000768469702656","Catalog Record")</f>
        <v/>
      </c>
      <c r="AT34">
        <f>HYPERLINK("http://www.worldcat.org/oclc/13008473","WorldCat Record")</f>
        <v/>
      </c>
      <c r="AU34" t="inlineStr">
        <is>
          <t>32285001547909</t>
        </is>
      </c>
      <c r="AV34" t="inlineStr">
        <is>
          <t>893258584</t>
        </is>
      </c>
    </row>
    <row r="35">
      <c r="A35" t="inlineStr">
        <is>
          <t>No</t>
        </is>
      </c>
      <c r="B35" t="inlineStr">
        <is>
          <t>R135.5 .P7413 1978</t>
        </is>
      </c>
      <c r="C35" t="inlineStr">
        <is>
          <t>0                      R  0135500P  7413        1978</t>
        </is>
      </c>
      <c r="D35" t="inlineStr">
        <is>
          <t>Julius Preuss' Biblical and Talmudic medicine / translated and edited by Fred Rosner. --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Preuss, Julius, 1861-1913.</t>
        </is>
      </c>
      <c r="L35" t="inlineStr">
        <is>
          <t>New York : Sanhedrin Press, [1978] c1977.</t>
        </is>
      </c>
      <c r="M35" t="inlineStr">
        <is>
          <t>1978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R  </t>
        </is>
      </c>
      <c r="S35" t="n">
        <v>24</v>
      </c>
      <c r="T35" t="n">
        <v>24</v>
      </c>
      <c r="U35" t="inlineStr">
        <is>
          <t>2010-03-28</t>
        </is>
      </c>
      <c r="V35" t="inlineStr">
        <is>
          <t>2010-03-28</t>
        </is>
      </c>
      <c r="W35" t="inlineStr">
        <is>
          <t>1993-03-05</t>
        </is>
      </c>
      <c r="X35" t="inlineStr">
        <is>
          <t>1993-03-05</t>
        </is>
      </c>
      <c r="Y35" t="n">
        <v>303</v>
      </c>
      <c r="Z35" t="n">
        <v>273</v>
      </c>
      <c r="AA35" t="n">
        <v>791</v>
      </c>
      <c r="AB35" t="n">
        <v>1</v>
      </c>
      <c r="AC35" t="n">
        <v>12</v>
      </c>
      <c r="AD35" t="n">
        <v>7</v>
      </c>
      <c r="AE35" t="n">
        <v>36</v>
      </c>
      <c r="AF35" t="n">
        <v>2</v>
      </c>
      <c r="AG35" t="n">
        <v>10</v>
      </c>
      <c r="AH35" t="n">
        <v>3</v>
      </c>
      <c r="AI35" t="n">
        <v>10</v>
      </c>
      <c r="AJ35" t="n">
        <v>3</v>
      </c>
      <c r="AK35" t="n">
        <v>12</v>
      </c>
      <c r="AL35" t="n">
        <v>0</v>
      </c>
      <c r="AM35" t="n">
        <v>10</v>
      </c>
      <c r="AN35" t="n">
        <v>0</v>
      </c>
      <c r="AO35" t="n">
        <v>1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HYPERLINK("https://creighton-primo.hosted.exlibrisgroup.com/primo-explore/search?tab=default_tab&amp;search_scope=EVERYTHING&amp;vid=01CRU&amp;lang=en_US&amp;offset=0&amp;query=any,contains,991005371589702656","Catalog Record")</f>
        <v/>
      </c>
      <c r="AT35">
        <f>HYPERLINK("http://www.worldcat.org/oclc/3842840","WorldCat Record")</f>
        <v/>
      </c>
      <c r="AU35" t="inlineStr">
        <is>
          <t>32285003011185</t>
        </is>
      </c>
      <c r="AV35" t="inlineStr">
        <is>
          <t>893618880</t>
        </is>
      </c>
    </row>
    <row r="36">
      <c r="A36" t="inlineStr">
        <is>
          <t>No</t>
        </is>
      </c>
      <c r="B36" t="inlineStr">
        <is>
          <t>R141 .H43 1992</t>
        </is>
      </c>
      <c r="C36" t="inlineStr">
        <is>
          <t>0                      R  0141000H  43          1992</t>
        </is>
      </c>
      <c r="D36" t="inlineStr">
        <is>
          <t>Health, disease, and healing in medieval culture / edited by Sheila Campbell, Bert Hall, David Klausner.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New York : St. Martin's Press, 1992.</t>
        </is>
      </c>
      <c r="M36" t="inlineStr">
        <is>
          <t>1992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R  </t>
        </is>
      </c>
      <c r="S36" t="n">
        <v>20</v>
      </c>
      <c r="T36" t="n">
        <v>20</v>
      </c>
      <c r="U36" t="inlineStr">
        <is>
          <t>2010-05-03</t>
        </is>
      </c>
      <c r="V36" t="inlineStr">
        <is>
          <t>2010-05-03</t>
        </is>
      </c>
      <c r="W36" t="inlineStr">
        <is>
          <t>1992-05-15</t>
        </is>
      </c>
      <c r="X36" t="inlineStr">
        <is>
          <t>1992-05-15</t>
        </is>
      </c>
      <c r="Y36" t="n">
        <v>204</v>
      </c>
      <c r="Z36" t="n">
        <v>161</v>
      </c>
      <c r="AA36" t="n">
        <v>178</v>
      </c>
      <c r="AB36" t="n">
        <v>2</v>
      </c>
      <c r="AC36" t="n">
        <v>2</v>
      </c>
      <c r="AD36" t="n">
        <v>8</v>
      </c>
      <c r="AE36" t="n">
        <v>11</v>
      </c>
      <c r="AF36" t="n">
        <v>2</v>
      </c>
      <c r="AG36" t="n">
        <v>4</v>
      </c>
      <c r="AH36" t="n">
        <v>1</v>
      </c>
      <c r="AI36" t="n">
        <v>2</v>
      </c>
      <c r="AJ36" t="n">
        <v>6</v>
      </c>
      <c r="AK36" t="n">
        <v>7</v>
      </c>
      <c r="AL36" t="n">
        <v>1</v>
      </c>
      <c r="AM36" t="n">
        <v>1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HYPERLINK("https://creighton-primo.hosted.exlibrisgroup.com/primo-explore/search?tab=default_tab&amp;search_scope=EVERYTHING&amp;vid=01CRU&amp;lang=en_US&amp;offset=0&amp;query=any,contains,991005412489702656","Catalog Record")</f>
        <v/>
      </c>
      <c r="AT36">
        <f>HYPERLINK("http://www.worldcat.org/oclc/21909257","WorldCat Record")</f>
        <v/>
      </c>
      <c r="AU36" t="inlineStr">
        <is>
          <t>32285001031680</t>
        </is>
      </c>
      <c r="AV36" t="inlineStr">
        <is>
          <t>893338595</t>
        </is>
      </c>
    </row>
    <row r="37">
      <c r="A37" t="inlineStr">
        <is>
          <t>No</t>
        </is>
      </c>
      <c r="B37" t="inlineStr">
        <is>
          <t>R141 .H46 1972</t>
        </is>
      </c>
      <c r="C37" t="inlineStr">
        <is>
          <t>0                      R  0141000H  46          1972</t>
        </is>
      </c>
      <c r="D37" t="inlineStr">
        <is>
          <t>Medical works of the fourteenth century : together with a list of plants recorded in contemporary writings, with their identifications / by G. Henslow.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Henslow, George, 1835-1925.</t>
        </is>
      </c>
      <c r="L37" t="inlineStr">
        <is>
          <t>New York : B. Franklin, [1972]</t>
        </is>
      </c>
      <c r="M37" t="inlineStr">
        <is>
          <t>1972</t>
        </is>
      </c>
      <c r="O37" t="inlineStr">
        <is>
          <t>eng</t>
        </is>
      </c>
      <c r="P37" t="inlineStr">
        <is>
          <t>nyu</t>
        </is>
      </c>
      <c r="Q37" t="inlineStr">
        <is>
          <t>Burt Franklin: bibliography &amp; reference series, 458. Science classic series, 11</t>
        </is>
      </c>
      <c r="R37" t="inlineStr">
        <is>
          <t xml:space="preserve">R  </t>
        </is>
      </c>
      <c r="S37" t="n">
        <v>17</v>
      </c>
      <c r="T37" t="n">
        <v>17</v>
      </c>
      <c r="U37" t="inlineStr">
        <is>
          <t>2003-03-05</t>
        </is>
      </c>
      <c r="V37" t="inlineStr">
        <is>
          <t>2003-03-05</t>
        </is>
      </c>
      <c r="W37" t="inlineStr">
        <is>
          <t>1993-03-05</t>
        </is>
      </c>
      <c r="X37" t="inlineStr">
        <is>
          <t>1993-03-05</t>
        </is>
      </c>
      <c r="Y37" t="n">
        <v>83</v>
      </c>
      <c r="Z37" t="n">
        <v>67</v>
      </c>
      <c r="AA37" t="n">
        <v>98</v>
      </c>
      <c r="AB37" t="n">
        <v>1</v>
      </c>
      <c r="AC37" t="n">
        <v>1</v>
      </c>
      <c r="AD37" t="n">
        <v>2</v>
      </c>
      <c r="AE37" t="n">
        <v>2</v>
      </c>
      <c r="AF37" t="n">
        <v>0</v>
      </c>
      <c r="AG37" t="n">
        <v>0</v>
      </c>
      <c r="AH37" t="n">
        <v>1</v>
      </c>
      <c r="AI37" t="n">
        <v>1</v>
      </c>
      <c r="AJ37" t="n">
        <v>2</v>
      </c>
      <c r="AK37" t="n">
        <v>2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HYPERLINK("http://catalog.hathitrust.org/Record/102284349","HathiTrust Record")</f>
        <v/>
      </c>
      <c r="AS37">
        <f>HYPERLINK("https://creighton-primo.hosted.exlibrisgroup.com/primo-explore/search?tab=default_tab&amp;search_scope=EVERYTHING&amp;vid=01CRU&amp;lang=en_US&amp;offset=0&amp;query=any,contains,991005355389702656","Catalog Record")</f>
        <v/>
      </c>
      <c r="AT37">
        <f>HYPERLINK("http://www.worldcat.org/oclc/427460","WorldCat Record")</f>
        <v/>
      </c>
      <c r="AU37" t="inlineStr">
        <is>
          <t>32285002405735</t>
        </is>
      </c>
      <c r="AV37" t="inlineStr">
        <is>
          <t>893704240</t>
        </is>
      </c>
    </row>
    <row r="38">
      <c r="A38" t="inlineStr">
        <is>
          <t>No</t>
        </is>
      </c>
      <c r="B38" t="inlineStr">
        <is>
          <t>R141 .R8 1974</t>
        </is>
      </c>
      <c r="C38" t="inlineStr">
        <is>
          <t>0                      R  0141000R  8           1974</t>
        </is>
      </c>
      <c r="D38" t="inlineStr">
        <is>
          <t>Medieval English medicine / Stanley Rubin.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Rubin, Stanley.</t>
        </is>
      </c>
      <c r="L38" t="inlineStr">
        <is>
          <t>Newton Abbot : David &amp; Charles ; New York : Barnes &amp; Noble Books, 1974.</t>
        </is>
      </c>
      <c r="M38" t="inlineStr">
        <is>
          <t>1974</t>
        </is>
      </c>
      <c r="O38" t="inlineStr">
        <is>
          <t>eng</t>
        </is>
      </c>
      <c r="P38" t="inlineStr">
        <is>
          <t>enk</t>
        </is>
      </c>
      <c r="R38" t="inlineStr">
        <is>
          <t xml:space="preserve">R  </t>
        </is>
      </c>
      <c r="S38" t="n">
        <v>17</v>
      </c>
      <c r="T38" t="n">
        <v>17</v>
      </c>
      <c r="U38" t="inlineStr">
        <is>
          <t>2010-03-28</t>
        </is>
      </c>
      <c r="V38" t="inlineStr">
        <is>
          <t>2010-03-28</t>
        </is>
      </c>
      <c r="W38" t="inlineStr">
        <is>
          <t>1994-04-27</t>
        </is>
      </c>
      <c r="X38" t="inlineStr">
        <is>
          <t>1994-04-27</t>
        </is>
      </c>
      <c r="Y38" t="n">
        <v>520</v>
      </c>
      <c r="Z38" t="n">
        <v>367</v>
      </c>
      <c r="AA38" t="n">
        <v>372</v>
      </c>
      <c r="AB38" t="n">
        <v>2</v>
      </c>
      <c r="AC38" t="n">
        <v>2</v>
      </c>
      <c r="AD38" t="n">
        <v>14</v>
      </c>
      <c r="AE38" t="n">
        <v>14</v>
      </c>
      <c r="AF38" t="n">
        <v>4</v>
      </c>
      <c r="AG38" t="n">
        <v>4</v>
      </c>
      <c r="AH38" t="n">
        <v>2</v>
      </c>
      <c r="AI38" t="n">
        <v>2</v>
      </c>
      <c r="AJ38" t="n">
        <v>10</v>
      </c>
      <c r="AK38" t="n">
        <v>10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HYPERLINK("http://catalog.hathitrust.org/Record/000026010","HathiTrust Record")</f>
        <v/>
      </c>
      <c r="AS38">
        <f>HYPERLINK("https://creighton-primo.hosted.exlibrisgroup.com/primo-explore/search?tab=default_tab&amp;search_scope=EVERYTHING&amp;vid=01CRU&amp;lang=en_US&amp;offset=0&amp;query=any,contains,991005360109702656","Catalog Record")</f>
        <v/>
      </c>
      <c r="AT38">
        <f>HYPERLINK("http://www.worldcat.org/oclc/1432747","WorldCat Record")</f>
        <v/>
      </c>
      <c r="AU38" t="inlineStr">
        <is>
          <t>32285000946094</t>
        </is>
      </c>
      <c r="AV38" t="inlineStr">
        <is>
          <t>893514360</t>
        </is>
      </c>
    </row>
    <row r="39">
      <c r="A39" t="inlineStr">
        <is>
          <t>No</t>
        </is>
      </c>
      <c r="B39" t="inlineStr">
        <is>
          <t>R141 .T49 2005</t>
        </is>
      </c>
      <c r="C39" t="inlineStr">
        <is>
          <t>0                      R  0141000T  49          2005</t>
        </is>
      </c>
      <c r="D39" t="inlineStr">
        <is>
          <t>Textual healing : essays on medieval and early modern medicine / edited by Elizabeth Lane Furdell.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Leiden ; Boston : Brill, 2005.</t>
        </is>
      </c>
      <c r="M39" t="inlineStr">
        <is>
          <t>2005</t>
        </is>
      </c>
      <c r="O39" t="inlineStr">
        <is>
          <t>eng</t>
        </is>
      </c>
      <c r="P39" t="inlineStr">
        <is>
          <t xml:space="preserve">ne </t>
        </is>
      </c>
      <c r="Q39" t="inlineStr">
        <is>
          <t>Studies in medieval and Reformation traditions, 1573-4188 ; v. 110</t>
        </is>
      </c>
      <c r="R39" t="inlineStr">
        <is>
          <t xml:space="preserve">R  </t>
        </is>
      </c>
      <c r="S39" t="n">
        <v>8</v>
      </c>
      <c r="T39" t="n">
        <v>8</v>
      </c>
      <c r="U39" t="inlineStr">
        <is>
          <t>2010-05-03</t>
        </is>
      </c>
      <c r="V39" t="inlineStr">
        <is>
          <t>2010-05-03</t>
        </is>
      </c>
      <c r="W39" t="inlineStr">
        <is>
          <t>2005-11-17</t>
        </is>
      </c>
      <c r="X39" t="inlineStr">
        <is>
          <t>2005-11-17</t>
        </is>
      </c>
      <c r="Y39" t="n">
        <v>185</v>
      </c>
      <c r="Z39" t="n">
        <v>140</v>
      </c>
      <c r="AA39" t="n">
        <v>140</v>
      </c>
      <c r="AB39" t="n">
        <v>2</v>
      </c>
      <c r="AC39" t="n">
        <v>2</v>
      </c>
      <c r="AD39" t="n">
        <v>12</v>
      </c>
      <c r="AE39" t="n">
        <v>12</v>
      </c>
      <c r="AF39" t="n">
        <v>1</v>
      </c>
      <c r="AG39" t="n">
        <v>1</v>
      </c>
      <c r="AH39" t="n">
        <v>3</v>
      </c>
      <c r="AI39" t="n">
        <v>3</v>
      </c>
      <c r="AJ39" t="n">
        <v>8</v>
      </c>
      <c r="AK39" t="n">
        <v>8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HYPERLINK("https://creighton-primo.hosted.exlibrisgroup.com/primo-explore/search?tab=default_tab&amp;search_scope=EVERYTHING&amp;vid=01CRU&amp;lang=en_US&amp;offset=0&amp;query=any,contains,991004692469702656","Catalog Record")</f>
        <v/>
      </c>
      <c r="AT39">
        <f>HYPERLINK("http://www.worldcat.org/oclc/60651161","WorldCat Record")</f>
        <v/>
      </c>
      <c r="AU39" t="inlineStr">
        <is>
          <t>32285001129740</t>
        </is>
      </c>
      <c r="AV39" t="inlineStr">
        <is>
          <t>893626843</t>
        </is>
      </c>
    </row>
    <row r="40">
      <c r="A40" t="inlineStr">
        <is>
          <t>No</t>
        </is>
      </c>
      <c r="B40" t="inlineStr">
        <is>
          <t>R143 .K33 1975</t>
        </is>
      </c>
      <c r="C40" t="inlineStr">
        <is>
          <t>0                      R  0143000K  33          1975</t>
        </is>
      </c>
      <c r="D40" t="inlineStr">
        <is>
          <t>Encyclopaedia of Islamic medicine : with a Greco-Roman back-ground / by Hassan Kamal.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Kamal Hassan.</t>
        </is>
      </c>
      <c r="L40" t="inlineStr">
        <is>
          <t>[Cairo] : General Egyptian Book Organization, 1975.</t>
        </is>
      </c>
      <c r="M40" t="inlineStr">
        <is>
          <t>1975</t>
        </is>
      </c>
      <c r="O40" t="inlineStr">
        <is>
          <t>eng</t>
        </is>
      </c>
      <c r="P40" t="inlineStr">
        <is>
          <t xml:space="preserve">ua </t>
        </is>
      </c>
      <c r="R40" t="inlineStr">
        <is>
          <t xml:space="preserve">R  </t>
        </is>
      </c>
      <c r="S40" t="n">
        <v>7</v>
      </c>
      <c r="T40" t="n">
        <v>7</v>
      </c>
      <c r="U40" t="inlineStr">
        <is>
          <t>2008-03-04</t>
        </is>
      </c>
      <c r="V40" t="inlineStr">
        <is>
          <t>2008-03-04</t>
        </is>
      </c>
      <c r="W40" t="inlineStr">
        <is>
          <t>1993-03-05</t>
        </is>
      </c>
      <c r="X40" t="inlineStr">
        <is>
          <t>1993-03-05</t>
        </is>
      </c>
      <c r="Y40" t="n">
        <v>86</v>
      </c>
      <c r="Z40" t="n">
        <v>39</v>
      </c>
      <c r="AA40" t="n">
        <v>42</v>
      </c>
      <c r="AB40" t="n">
        <v>1</v>
      </c>
      <c r="AC40" t="n">
        <v>1</v>
      </c>
      <c r="AD40" t="n">
        <v>1</v>
      </c>
      <c r="AE40" t="n">
        <v>1</v>
      </c>
      <c r="AF40" t="n">
        <v>0</v>
      </c>
      <c r="AG40" t="n">
        <v>0</v>
      </c>
      <c r="AH40" t="n">
        <v>1</v>
      </c>
      <c r="AI40" t="n">
        <v>1</v>
      </c>
      <c r="AJ40" t="n">
        <v>1</v>
      </c>
      <c r="AK40" t="n">
        <v>1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HYPERLINK("https://creighton-primo.hosted.exlibrisgroup.com/primo-explore/search?tab=default_tab&amp;search_scope=EVERYTHING&amp;vid=01CRU&amp;lang=en_US&amp;offset=0&amp;query=any,contains,991005369799702656","Catalog Record")</f>
        <v/>
      </c>
      <c r="AT40">
        <f>HYPERLINK("http://www.worldcat.org/oclc/2475123","WorldCat Record")</f>
        <v/>
      </c>
      <c r="AU40" t="inlineStr">
        <is>
          <t>32285003383980</t>
        </is>
      </c>
      <c r="AV40" t="inlineStr">
        <is>
          <t>893597871</t>
        </is>
      </c>
    </row>
    <row r="41">
      <c r="A41" t="inlineStr">
        <is>
          <t>No</t>
        </is>
      </c>
      <c r="B41" t="inlineStr">
        <is>
          <t>R143 .T21 1968</t>
        </is>
      </c>
      <c r="C41" t="inlineStr">
        <is>
          <t>0                      R  0143000T  21          1968</t>
        </is>
      </c>
      <c r="D41" t="inlineStr">
        <is>
          <t>Kitāb al-tashwiq al-tibbī.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Sāʻid ibn al-Ḥasan, active 11th century.</t>
        </is>
      </c>
      <c r="L41" t="inlineStr">
        <is>
          <t>Bonn : Selbstverlag des Orientalischen Seminars der Universitat, 1968.</t>
        </is>
      </c>
      <c r="M41" t="inlineStr">
        <is>
          <t>1968</t>
        </is>
      </c>
      <c r="O41" t="inlineStr">
        <is>
          <t>ger</t>
        </is>
      </c>
      <c r="P41" t="inlineStr">
        <is>
          <t xml:space="preserve">gw </t>
        </is>
      </c>
      <c r="Q41" t="inlineStr">
        <is>
          <t>Bonner orientalistische Studien. Neue Serie ; Bd. 16</t>
        </is>
      </c>
      <c r="R41" t="inlineStr">
        <is>
          <t xml:space="preserve">R  </t>
        </is>
      </c>
      <c r="S41" t="n">
        <v>9</v>
      </c>
      <c r="T41" t="n">
        <v>9</v>
      </c>
      <c r="U41" t="inlineStr">
        <is>
          <t>2003-03-05</t>
        </is>
      </c>
      <c r="V41" t="inlineStr">
        <is>
          <t>2003-03-05</t>
        </is>
      </c>
      <c r="W41" t="inlineStr">
        <is>
          <t>1993-08-20</t>
        </is>
      </c>
      <c r="X41" t="inlineStr">
        <is>
          <t>1993-08-20</t>
        </is>
      </c>
      <c r="Y41" t="n">
        <v>27</v>
      </c>
      <c r="Z41" t="n">
        <v>20</v>
      </c>
      <c r="AA41" t="n">
        <v>20</v>
      </c>
      <c r="AB41" t="n">
        <v>1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HYPERLINK("https://creighton-primo.hosted.exlibrisgroup.com/primo-explore/search?tab=default_tab&amp;search_scope=EVERYTHING&amp;vid=01CRU&amp;lang=en_US&amp;offset=0&amp;query=any,contains,991005378349702656","Catalog Record")</f>
        <v/>
      </c>
      <c r="AT41">
        <f>HYPERLINK("http://www.worldcat.org/oclc/5436228","WorldCat Record")</f>
        <v/>
      </c>
      <c r="AU41" t="inlineStr">
        <is>
          <t>32285003011250</t>
        </is>
      </c>
      <c r="AV41" t="inlineStr">
        <is>
          <t>893336173</t>
        </is>
      </c>
    </row>
    <row r="42">
      <c r="A42" t="inlineStr">
        <is>
          <t>No</t>
        </is>
      </c>
      <c r="B42" t="inlineStr">
        <is>
          <t>R145 .R44</t>
        </is>
      </c>
      <c r="C42" t="inlineStr">
        <is>
          <t>0                      R  0145000R  44</t>
        </is>
      </c>
      <c r="D42" t="inlineStr">
        <is>
          <t>Medicine and the reign of technology / Stanley Joel Reiser.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Reiser, Stanley Joel.</t>
        </is>
      </c>
      <c r="L42" t="inlineStr">
        <is>
          <t>Cambridge ; New York : Cambridge University Press, 1978.</t>
        </is>
      </c>
      <c r="M42" t="inlineStr">
        <is>
          <t>1978</t>
        </is>
      </c>
      <c r="O42" t="inlineStr">
        <is>
          <t>eng</t>
        </is>
      </c>
      <c r="P42" t="inlineStr">
        <is>
          <t>enk</t>
        </is>
      </c>
      <c r="R42" t="inlineStr">
        <is>
          <t xml:space="preserve">R  </t>
        </is>
      </c>
      <c r="S42" t="n">
        <v>2</v>
      </c>
      <c r="T42" t="n">
        <v>2</v>
      </c>
      <c r="U42" t="inlineStr">
        <is>
          <t>1994-05-24</t>
        </is>
      </c>
      <c r="V42" t="inlineStr">
        <is>
          <t>1994-05-24</t>
        </is>
      </c>
      <c r="W42" t="inlineStr">
        <is>
          <t>1992-02-06</t>
        </is>
      </c>
      <c r="X42" t="inlineStr">
        <is>
          <t>1992-02-06</t>
        </is>
      </c>
      <c r="Y42" t="n">
        <v>869</v>
      </c>
      <c r="Z42" t="n">
        <v>712</v>
      </c>
      <c r="AA42" t="n">
        <v>726</v>
      </c>
      <c r="AB42" t="n">
        <v>4</v>
      </c>
      <c r="AC42" t="n">
        <v>4</v>
      </c>
      <c r="AD42" t="n">
        <v>28</v>
      </c>
      <c r="AE42" t="n">
        <v>29</v>
      </c>
      <c r="AF42" t="n">
        <v>8</v>
      </c>
      <c r="AG42" t="n">
        <v>9</v>
      </c>
      <c r="AH42" t="n">
        <v>6</v>
      </c>
      <c r="AI42" t="n">
        <v>6</v>
      </c>
      <c r="AJ42" t="n">
        <v>13</v>
      </c>
      <c r="AK42" t="n">
        <v>13</v>
      </c>
      <c r="AL42" t="n">
        <v>3</v>
      </c>
      <c r="AM42" t="n">
        <v>3</v>
      </c>
      <c r="AN42" t="n">
        <v>2</v>
      </c>
      <c r="AO42" t="n">
        <v>2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HYPERLINK("https://creighton-primo.hosted.exlibrisgroup.com/primo-explore/search?tab=default_tab&amp;search_scope=EVERYTHING&amp;vid=01CRU&amp;lang=en_US&amp;offset=0&amp;query=any,contains,991005264329702656","Catalog Record")</f>
        <v/>
      </c>
      <c r="AT42">
        <f>HYPERLINK("http://www.worldcat.org/oclc/3396493","WorldCat Record")</f>
        <v/>
      </c>
      <c r="AU42" t="inlineStr">
        <is>
          <t>32285000895242</t>
        </is>
      </c>
      <c r="AV42" t="inlineStr">
        <is>
          <t>893502767</t>
        </is>
      </c>
    </row>
    <row r="43">
      <c r="A43" t="inlineStr">
        <is>
          <t>No</t>
        </is>
      </c>
      <c r="B43" t="inlineStr">
        <is>
          <t>R145 .S45 1979</t>
        </is>
      </c>
      <c r="C43" t="inlineStr">
        <is>
          <t>0                      R  0145000S  45          1979</t>
        </is>
      </c>
      <c r="D43" t="inlineStr">
        <is>
          <t>The development of modern medicine : an interpretation of the social and scientific factors involved / by Richard Harrison Shryock.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Shryock, Richard Harrison, 1893-1972.</t>
        </is>
      </c>
      <c r="L43" t="inlineStr">
        <is>
          <t>Madison : The University of Wisconsin Press, 1979.</t>
        </is>
      </c>
      <c r="M43" t="inlineStr">
        <is>
          <t>1979</t>
        </is>
      </c>
      <c r="O43" t="inlineStr">
        <is>
          <t>eng</t>
        </is>
      </c>
      <c r="P43" t="inlineStr">
        <is>
          <t>wiu</t>
        </is>
      </c>
      <c r="R43" t="inlineStr">
        <is>
          <t xml:space="preserve">R  </t>
        </is>
      </c>
      <c r="S43" t="n">
        <v>10</v>
      </c>
      <c r="T43" t="n">
        <v>10</v>
      </c>
      <c r="U43" t="inlineStr">
        <is>
          <t>2007-04-19</t>
        </is>
      </c>
      <c r="V43" t="inlineStr">
        <is>
          <t>2007-04-19</t>
        </is>
      </c>
      <c r="W43" t="inlineStr">
        <is>
          <t>1992-12-16</t>
        </is>
      </c>
      <c r="X43" t="inlineStr">
        <is>
          <t>1992-12-16</t>
        </is>
      </c>
      <c r="Y43" t="n">
        <v>153</v>
      </c>
      <c r="Z43" t="n">
        <v>125</v>
      </c>
      <c r="AA43" t="n">
        <v>722</v>
      </c>
      <c r="AB43" t="n">
        <v>2</v>
      </c>
      <c r="AC43" t="n">
        <v>5</v>
      </c>
      <c r="AD43" t="n">
        <v>6</v>
      </c>
      <c r="AE43" t="n">
        <v>35</v>
      </c>
      <c r="AF43" t="n">
        <v>3</v>
      </c>
      <c r="AG43" t="n">
        <v>15</v>
      </c>
      <c r="AH43" t="n">
        <v>0</v>
      </c>
      <c r="AI43" t="n">
        <v>9</v>
      </c>
      <c r="AJ43" t="n">
        <v>2</v>
      </c>
      <c r="AK43" t="n">
        <v>15</v>
      </c>
      <c r="AL43" t="n">
        <v>1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HYPERLINK("https://creighton-primo.hosted.exlibrisgroup.com/primo-explore/search?tab=default_tab&amp;search_scope=EVERYTHING&amp;vid=01CRU&amp;lang=en_US&amp;offset=0&amp;query=any,contains,991004908019702656","Catalog Record")</f>
        <v/>
      </c>
      <c r="AT43">
        <f>HYPERLINK("http://www.worldcat.org/oclc/7694347","WorldCat Record")</f>
        <v/>
      </c>
      <c r="AU43" t="inlineStr">
        <is>
          <t>32285001547925</t>
        </is>
      </c>
      <c r="AV43" t="inlineStr">
        <is>
          <t>893609144</t>
        </is>
      </c>
    </row>
    <row r="44">
      <c r="A44" t="inlineStr">
        <is>
          <t>No</t>
        </is>
      </c>
      <c r="B44" t="inlineStr">
        <is>
          <t>R147.M38 R52</t>
        </is>
      </c>
      <c r="C44" t="inlineStr">
        <is>
          <t>0                      R  0147000M  38                 R  52</t>
        </is>
      </c>
      <c r="D44" t="inlineStr">
        <is>
          <t>Vida y milagros de un pícaro del siglo XVI : biografía del bachiller Juan Méndez Nieto / Carlos Rico-Avello.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Rico-Avello, Carlos.</t>
        </is>
      </c>
      <c r="L44" t="inlineStr">
        <is>
          <t>Madrid : Cultura Hispánica, 1974.</t>
        </is>
      </c>
      <c r="M44" t="inlineStr">
        <is>
          <t>1974</t>
        </is>
      </c>
      <c r="O44" t="inlineStr">
        <is>
          <t>spa</t>
        </is>
      </c>
      <c r="P44" t="inlineStr">
        <is>
          <t xml:space="preserve">sp </t>
        </is>
      </c>
      <c r="R44" t="inlineStr">
        <is>
          <t xml:space="preserve">R  </t>
        </is>
      </c>
      <c r="S44" t="n">
        <v>2</v>
      </c>
      <c r="T44" t="n">
        <v>2</v>
      </c>
      <c r="U44" t="inlineStr">
        <is>
          <t>2010-04-20</t>
        </is>
      </c>
      <c r="V44" t="inlineStr">
        <is>
          <t>2010-04-20</t>
        </is>
      </c>
      <c r="W44" t="inlineStr">
        <is>
          <t>1993-03-05</t>
        </is>
      </c>
      <c r="X44" t="inlineStr">
        <is>
          <t>1993-03-05</t>
        </is>
      </c>
      <c r="Y44" t="n">
        <v>45</v>
      </c>
      <c r="Z44" t="n">
        <v>32</v>
      </c>
      <c r="AA44" t="n">
        <v>35</v>
      </c>
      <c r="AB44" t="n">
        <v>1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HYPERLINK("http://catalog.hathitrust.org/Record/010742487","HathiTrust Record")</f>
        <v/>
      </c>
      <c r="AS44">
        <f>HYPERLINK("https://creighton-primo.hosted.exlibrisgroup.com/primo-explore/search?tab=default_tab&amp;search_scope=EVERYTHING&amp;vid=01CRU&amp;lang=en_US&amp;offset=0&amp;query=any,contains,991004079979702656","Catalog Record")</f>
        <v/>
      </c>
      <c r="AT44">
        <f>HYPERLINK("http://www.worldcat.org/oclc/2325301","WorldCat Record")</f>
        <v/>
      </c>
      <c r="AU44" t="inlineStr">
        <is>
          <t>32285001547933</t>
        </is>
      </c>
      <c r="AV44" t="inlineStr">
        <is>
          <t>893531299</t>
        </is>
      </c>
    </row>
    <row r="45">
      <c r="A45" t="inlineStr">
        <is>
          <t>No</t>
        </is>
      </c>
      <c r="B45" t="inlineStr">
        <is>
          <t>R148 .K5</t>
        </is>
      </c>
      <c r="C45" t="inlineStr">
        <is>
          <t>0                      R  0148000K  5</t>
        </is>
      </c>
      <c r="D45" t="inlineStr">
        <is>
          <t>The medical world of the eighteenth century / Lester S. King.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King, Lester S. (Lester Snow), 1908-2002.</t>
        </is>
      </c>
      <c r="L45" t="inlineStr">
        <is>
          <t>Chicago : University of Chicago Press, 1958.</t>
        </is>
      </c>
      <c r="M45" t="inlineStr">
        <is>
          <t>1958</t>
        </is>
      </c>
      <c r="O45" t="inlineStr">
        <is>
          <t>eng</t>
        </is>
      </c>
      <c r="P45" t="inlineStr">
        <is>
          <t>ilu</t>
        </is>
      </c>
      <c r="R45" t="inlineStr">
        <is>
          <t xml:space="preserve">R  </t>
        </is>
      </c>
      <c r="S45" t="n">
        <v>7</v>
      </c>
      <c r="T45" t="n">
        <v>7</v>
      </c>
      <c r="U45" t="inlineStr">
        <is>
          <t>2007-04-19</t>
        </is>
      </c>
      <c r="V45" t="inlineStr">
        <is>
          <t>2007-04-19</t>
        </is>
      </c>
      <c r="W45" t="inlineStr">
        <is>
          <t>1991-11-12</t>
        </is>
      </c>
      <c r="X45" t="inlineStr">
        <is>
          <t>1991-11-12</t>
        </is>
      </c>
      <c r="Y45" t="n">
        <v>655</v>
      </c>
      <c r="Z45" t="n">
        <v>581</v>
      </c>
      <c r="AA45" t="n">
        <v>654</v>
      </c>
      <c r="AB45" t="n">
        <v>5</v>
      </c>
      <c r="AC45" t="n">
        <v>7</v>
      </c>
      <c r="AD45" t="n">
        <v>24</v>
      </c>
      <c r="AE45" t="n">
        <v>30</v>
      </c>
      <c r="AF45" t="n">
        <v>8</v>
      </c>
      <c r="AG45" t="n">
        <v>12</v>
      </c>
      <c r="AH45" t="n">
        <v>3</v>
      </c>
      <c r="AI45" t="n">
        <v>4</v>
      </c>
      <c r="AJ45" t="n">
        <v>13</v>
      </c>
      <c r="AK45" t="n">
        <v>13</v>
      </c>
      <c r="AL45" t="n">
        <v>4</v>
      </c>
      <c r="AM45" t="n">
        <v>6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HYPERLINK("https://creighton-primo.hosted.exlibrisgroup.com/primo-explore/search?tab=default_tab&amp;search_scope=EVERYTHING&amp;vid=01CRU&amp;lang=en_US&amp;offset=0&amp;query=any,contains,991003459659702656","Catalog Record")</f>
        <v/>
      </c>
      <c r="AT45">
        <f>HYPERLINK("http://www.worldcat.org/oclc/14618118","WorldCat Record")</f>
        <v/>
      </c>
      <c r="AU45" t="inlineStr">
        <is>
          <t>32285001547941</t>
        </is>
      </c>
      <c r="AV45" t="inlineStr">
        <is>
          <t>893230996</t>
        </is>
      </c>
    </row>
    <row r="46">
      <c r="A46" t="inlineStr">
        <is>
          <t>No</t>
        </is>
      </c>
      <c r="B46" t="inlineStr">
        <is>
          <t>R148 .K515</t>
        </is>
      </c>
      <c r="C46" t="inlineStr">
        <is>
          <t>0                      R  0148000K  515</t>
        </is>
      </c>
      <c r="D46" t="inlineStr">
        <is>
          <t>The philosophy of medicine : the early eighteenth century / Lester S. King.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King, Lester S. (Lester Snow), 1908-2002.</t>
        </is>
      </c>
      <c r="L46" t="inlineStr">
        <is>
          <t>Cambridge, Mass. : Harvard University Press, 1978.</t>
        </is>
      </c>
      <c r="M46" t="inlineStr">
        <is>
          <t>1978</t>
        </is>
      </c>
      <c r="O46" t="inlineStr">
        <is>
          <t>eng</t>
        </is>
      </c>
      <c r="P46" t="inlineStr">
        <is>
          <t>mau</t>
        </is>
      </c>
      <c r="R46" t="inlineStr">
        <is>
          <t xml:space="preserve">R  </t>
        </is>
      </c>
      <c r="S46" t="n">
        <v>2</v>
      </c>
      <c r="T46" t="n">
        <v>2</v>
      </c>
      <c r="U46" t="inlineStr">
        <is>
          <t>2006-11-21</t>
        </is>
      </c>
      <c r="V46" t="inlineStr">
        <is>
          <t>2006-11-21</t>
        </is>
      </c>
      <c r="W46" t="inlineStr">
        <is>
          <t>1991-11-12</t>
        </is>
      </c>
      <c r="X46" t="inlineStr">
        <is>
          <t>1991-11-12</t>
        </is>
      </c>
      <c r="Y46" t="n">
        <v>504</v>
      </c>
      <c r="Z46" t="n">
        <v>395</v>
      </c>
      <c r="AA46" t="n">
        <v>411</v>
      </c>
      <c r="AB46" t="n">
        <v>3</v>
      </c>
      <c r="AC46" t="n">
        <v>3</v>
      </c>
      <c r="AD46" t="n">
        <v>16</v>
      </c>
      <c r="AE46" t="n">
        <v>16</v>
      </c>
      <c r="AF46" t="n">
        <v>3</v>
      </c>
      <c r="AG46" t="n">
        <v>3</v>
      </c>
      <c r="AH46" t="n">
        <v>4</v>
      </c>
      <c r="AI46" t="n">
        <v>4</v>
      </c>
      <c r="AJ46" t="n">
        <v>10</v>
      </c>
      <c r="AK46" t="n">
        <v>10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HYPERLINK("http://catalog.hathitrust.org/Record/000294227","HathiTrust Record")</f>
        <v/>
      </c>
      <c r="AS46">
        <f>HYPERLINK("https://creighton-primo.hosted.exlibrisgroup.com/primo-explore/search?tab=default_tab&amp;search_scope=EVERYTHING&amp;vid=01CRU&amp;lang=en_US&amp;offset=0&amp;query=any,contains,991001773349702656","Catalog Record")</f>
        <v/>
      </c>
      <c r="AT46">
        <f>HYPERLINK("http://www.worldcat.org/oclc/3186495","WorldCat Record")</f>
        <v/>
      </c>
      <c r="AU46" t="inlineStr">
        <is>
          <t>32285001814796</t>
        </is>
      </c>
      <c r="AV46" t="inlineStr">
        <is>
          <t>893523274</t>
        </is>
      </c>
    </row>
    <row r="47">
      <c r="A47" t="inlineStr">
        <is>
          <t>No</t>
        </is>
      </c>
      <c r="B47" t="inlineStr">
        <is>
          <t>R148 .S45 1972</t>
        </is>
      </c>
      <c r="C47" t="inlineStr">
        <is>
          <t>0                      R  0148000S  45          1972</t>
        </is>
      </c>
      <c r="D47" t="inlineStr">
        <is>
          <t>Medicine and society in America, 1660-1860 / Richard Harrison Shryock.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Shryock, Richard Harrison, 1893-1972.</t>
        </is>
      </c>
      <c r="L47" t="inlineStr">
        <is>
          <t>Ithaca, N. Y. : Cornell University Press, c1972, 1984 printing.</t>
        </is>
      </c>
      <c r="M47" t="inlineStr">
        <is>
          <t>1972</t>
        </is>
      </c>
      <c r="O47" t="inlineStr">
        <is>
          <t>eng</t>
        </is>
      </c>
      <c r="P47" t="inlineStr">
        <is>
          <t>nyu</t>
        </is>
      </c>
      <c r="Q47" t="inlineStr">
        <is>
          <t>Cornell paperbacks</t>
        </is>
      </c>
      <c r="R47" t="inlineStr">
        <is>
          <t xml:space="preserve">R  </t>
        </is>
      </c>
      <c r="S47" t="n">
        <v>5</v>
      </c>
      <c r="T47" t="n">
        <v>5</v>
      </c>
      <c r="U47" t="inlineStr">
        <is>
          <t>1999-04-20</t>
        </is>
      </c>
      <c r="V47" t="inlineStr">
        <is>
          <t>1999-04-20</t>
        </is>
      </c>
      <c r="W47" t="inlineStr">
        <is>
          <t>1993-03-05</t>
        </is>
      </c>
      <c r="X47" t="inlineStr">
        <is>
          <t>1993-03-05</t>
        </is>
      </c>
      <c r="Y47" t="n">
        <v>120</v>
      </c>
      <c r="Z47" t="n">
        <v>112</v>
      </c>
      <c r="AA47" t="n">
        <v>975</v>
      </c>
      <c r="AB47" t="n">
        <v>1</v>
      </c>
      <c r="AC47" t="n">
        <v>9</v>
      </c>
      <c r="AD47" t="n">
        <v>3</v>
      </c>
      <c r="AE47" t="n">
        <v>36</v>
      </c>
      <c r="AF47" t="n">
        <v>1</v>
      </c>
      <c r="AG47" t="n">
        <v>10</v>
      </c>
      <c r="AH47" t="n">
        <v>1</v>
      </c>
      <c r="AI47" t="n">
        <v>9</v>
      </c>
      <c r="AJ47" t="n">
        <v>1</v>
      </c>
      <c r="AK47" t="n">
        <v>17</v>
      </c>
      <c r="AL47" t="n">
        <v>0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HYPERLINK("https://creighton-primo.hosted.exlibrisgroup.com/primo-explore/search?tab=default_tab&amp;search_scope=EVERYTHING&amp;vid=01CRU&amp;lang=en_US&amp;offset=0&amp;query=any,contains,991003879689702656","Catalog Record")</f>
        <v/>
      </c>
      <c r="AT47">
        <f>HYPERLINK("http://www.worldcat.org/oclc/1720722","WorldCat Record")</f>
        <v/>
      </c>
      <c r="AU47" t="inlineStr">
        <is>
          <t>32285001920775</t>
        </is>
      </c>
      <c r="AV47" t="inlineStr">
        <is>
          <t>893238348</t>
        </is>
      </c>
    </row>
    <row r="48">
      <c r="A48" t="inlineStr">
        <is>
          <t>No</t>
        </is>
      </c>
      <c r="B48" t="inlineStr">
        <is>
          <t>R148 .W54 1986</t>
        </is>
      </c>
      <c r="C48" t="inlineStr">
        <is>
          <t>0                      R  0148000W  54          1986</t>
        </is>
      </c>
      <c r="D48" t="inlineStr">
        <is>
          <t>The age of agony : the art of healing, c. 1700-1800 / Guy Williams.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Williams, Guy R.</t>
        </is>
      </c>
      <c r="L48" t="inlineStr">
        <is>
          <t>Chicago, Ill. : Academy Chicago Publishers, 1986, c1975.</t>
        </is>
      </c>
      <c r="M48" t="inlineStr">
        <is>
          <t>1986</t>
        </is>
      </c>
      <c r="O48" t="inlineStr">
        <is>
          <t>eng</t>
        </is>
      </c>
      <c r="P48" t="inlineStr">
        <is>
          <t>ilu</t>
        </is>
      </c>
      <c r="R48" t="inlineStr">
        <is>
          <t xml:space="preserve">R  </t>
        </is>
      </c>
      <c r="S48" t="n">
        <v>7</v>
      </c>
      <c r="T48" t="n">
        <v>7</v>
      </c>
      <c r="U48" t="inlineStr">
        <is>
          <t>2010-11-01</t>
        </is>
      </c>
      <c r="V48" t="inlineStr">
        <is>
          <t>2010-11-01</t>
        </is>
      </c>
      <c r="W48" t="inlineStr">
        <is>
          <t>2001-07-16</t>
        </is>
      </c>
      <c r="X48" t="inlineStr">
        <is>
          <t>2001-07-16</t>
        </is>
      </c>
      <c r="Y48" t="n">
        <v>226</v>
      </c>
      <c r="Z48" t="n">
        <v>212</v>
      </c>
      <c r="AA48" t="n">
        <v>274</v>
      </c>
      <c r="AB48" t="n">
        <v>2</v>
      </c>
      <c r="AC48" t="n">
        <v>4</v>
      </c>
      <c r="AD48" t="n">
        <v>4</v>
      </c>
      <c r="AE48" t="n">
        <v>9</v>
      </c>
      <c r="AF48" t="n">
        <v>1</v>
      </c>
      <c r="AG48" t="n">
        <v>3</v>
      </c>
      <c r="AH48" t="n">
        <v>1</v>
      </c>
      <c r="AI48" t="n">
        <v>2</v>
      </c>
      <c r="AJ48" t="n">
        <v>2</v>
      </c>
      <c r="AK48" t="n">
        <v>4</v>
      </c>
      <c r="AL48" t="n">
        <v>1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HYPERLINK("https://creighton-primo.hosted.exlibrisgroup.com/primo-explore/search?tab=default_tab&amp;search_scope=EVERYTHING&amp;vid=01CRU&amp;lang=en_US&amp;offset=0&amp;query=any,contains,991003569139702656","Catalog Record")</f>
        <v/>
      </c>
      <c r="AT48">
        <f>HYPERLINK("http://www.worldcat.org/oclc/12972925","WorldCat Record")</f>
        <v/>
      </c>
      <c r="AU48" t="inlineStr">
        <is>
          <t>32285000916634</t>
        </is>
      </c>
      <c r="AV48" t="inlineStr">
        <is>
          <t>893606456</t>
        </is>
      </c>
    </row>
    <row r="49">
      <c r="A49" t="inlineStr">
        <is>
          <t>No</t>
        </is>
      </c>
      <c r="B49" t="inlineStr">
        <is>
          <t>R149 .W45 1987</t>
        </is>
      </c>
      <c r="C49" t="inlineStr">
        <is>
          <t>0                      R  0149000W  45          1987</t>
        </is>
      </c>
      <c r="D49" t="inlineStr">
        <is>
          <t>The age of miracles : medicine and surgery in the nineteenth century / Guy Williams.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Williams, Guy R.</t>
        </is>
      </c>
      <c r="L49" t="inlineStr">
        <is>
          <t>Chicago, Ill. : Academy Chicago Publishers, 1987, c1981.</t>
        </is>
      </c>
      <c r="M49" t="inlineStr">
        <is>
          <t>1987</t>
        </is>
      </c>
      <c r="O49" t="inlineStr">
        <is>
          <t>eng</t>
        </is>
      </c>
      <c r="P49" t="inlineStr">
        <is>
          <t>ilu</t>
        </is>
      </c>
      <c r="R49" t="inlineStr">
        <is>
          <t xml:space="preserve">R  </t>
        </is>
      </c>
      <c r="S49" t="n">
        <v>2</v>
      </c>
      <c r="T49" t="n">
        <v>2</v>
      </c>
      <c r="U49" t="inlineStr">
        <is>
          <t>2008-11-07</t>
        </is>
      </c>
      <c r="V49" t="inlineStr">
        <is>
          <t>2008-11-07</t>
        </is>
      </c>
      <c r="W49" t="inlineStr">
        <is>
          <t>1993-03-05</t>
        </is>
      </c>
      <c r="X49" t="inlineStr">
        <is>
          <t>1993-03-05</t>
        </is>
      </c>
      <c r="Y49" t="n">
        <v>272</v>
      </c>
      <c r="Z49" t="n">
        <v>250</v>
      </c>
      <c r="AA49" t="n">
        <v>300</v>
      </c>
      <c r="AB49" t="n">
        <v>2</v>
      </c>
      <c r="AC49" t="n">
        <v>2</v>
      </c>
      <c r="AD49" t="n">
        <v>4</v>
      </c>
      <c r="AE49" t="n">
        <v>5</v>
      </c>
      <c r="AF49" t="n">
        <v>1</v>
      </c>
      <c r="AG49" t="n">
        <v>2</v>
      </c>
      <c r="AH49" t="n">
        <v>1</v>
      </c>
      <c r="AI49" t="n">
        <v>1</v>
      </c>
      <c r="AJ49" t="n">
        <v>2</v>
      </c>
      <c r="AK49" t="n">
        <v>2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HYPERLINK("https://creighton-primo.hosted.exlibrisgroup.com/primo-explore/search?tab=default_tab&amp;search_scope=EVERYTHING&amp;vid=01CRU&amp;lang=en_US&amp;offset=0&amp;query=any,contains,991001114889702656","Catalog Record")</f>
        <v/>
      </c>
      <c r="AT49">
        <f>HYPERLINK("http://www.worldcat.org/oclc/16525095","WorldCat Record")</f>
        <v/>
      </c>
      <c r="AU49" t="inlineStr">
        <is>
          <t>32285001547966</t>
        </is>
      </c>
      <c r="AV49" t="inlineStr">
        <is>
          <t>893536145</t>
        </is>
      </c>
    </row>
    <row r="50">
      <c r="A50" t="inlineStr">
        <is>
          <t>No</t>
        </is>
      </c>
      <c r="B50" t="inlineStr">
        <is>
          <t>R15.A55 W58 1994</t>
        </is>
      </c>
      <c r="C50" t="inlineStr">
        <is>
          <t>0                      R  0015000A  55                 W  58          1994</t>
        </is>
      </c>
      <c r="D50" t="inlineStr">
        <is>
          <t>The serpent on the staff : the unhealthy politics of the American Medical Association / Howard Wolinsky and Tom Brune.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Wolinsky, Howard.</t>
        </is>
      </c>
      <c r="L50" t="inlineStr">
        <is>
          <t>New York : G.P. Putnam's Sons, c1994.</t>
        </is>
      </c>
      <c r="M50" t="inlineStr">
        <is>
          <t>1994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R  </t>
        </is>
      </c>
      <c r="S50" t="n">
        <v>9</v>
      </c>
      <c r="T50" t="n">
        <v>9</v>
      </c>
      <c r="U50" t="inlineStr">
        <is>
          <t>2009-04-19</t>
        </is>
      </c>
      <c r="V50" t="inlineStr">
        <is>
          <t>2009-04-19</t>
        </is>
      </c>
      <c r="W50" t="inlineStr">
        <is>
          <t>1994-06-10</t>
        </is>
      </c>
      <c r="X50" t="inlineStr">
        <is>
          <t>1994-06-10</t>
        </is>
      </c>
      <c r="Y50" t="n">
        <v>411</v>
      </c>
      <c r="Z50" t="n">
        <v>387</v>
      </c>
      <c r="AA50" t="n">
        <v>407</v>
      </c>
      <c r="AB50" t="n">
        <v>3</v>
      </c>
      <c r="AC50" t="n">
        <v>3</v>
      </c>
      <c r="AD50" t="n">
        <v>14</v>
      </c>
      <c r="AE50" t="n">
        <v>16</v>
      </c>
      <c r="AF50" t="n">
        <v>5</v>
      </c>
      <c r="AG50" t="n">
        <v>6</v>
      </c>
      <c r="AH50" t="n">
        <v>2</v>
      </c>
      <c r="AI50" t="n">
        <v>3</v>
      </c>
      <c r="AJ50" t="n">
        <v>9</v>
      </c>
      <c r="AK50" t="n">
        <v>9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HYPERLINK("http://catalog.hathitrust.org/Record/002875179","HathiTrust Record")</f>
        <v/>
      </c>
      <c r="AS50">
        <f>HYPERLINK("https://creighton-primo.hosted.exlibrisgroup.com/primo-explore/search?tab=default_tab&amp;search_scope=EVERYTHING&amp;vid=01CRU&amp;lang=en_US&amp;offset=0&amp;query=any,contains,991002279989702656","Catalog Record")</f>
        <v/>
      </c>
      <c r="AT50">
        <f>HYPERLINK("http://www.worldcat.org/oclc/29564382","WorldCat Record")</f>
        <v/>
      </c>
      <c r="AU50" t="inlineStr">
        <is>
          <t>32285001656239</t>
        </is>
      </c>
      <c r="AV50" t="inlineStr">
        <is>
          <t>893514339</t>
        </is>
      </c>
    </row>
    <row r="51">
      <c r="A51" t="inlineStr">
        <is>
          <t>No</t>
        </is>
      </c>
      <c r="B51" t="inlineStr">
        <is>
          <t>R150 .C65 1995</t>
        </is>
      </c>
      <c r="C51" t="inlineStr">
        <is>
          <t>0                      R  0150000C  65          1995</t>
        </is>
      </c>
      <c r="D51" t="inlineStr">
        <is>
          <t>Columbus and the New World : medical implications / edited by Guy A. Settipane.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Providence, RI : OceanSide Publications, 1995.</t>
        </is>
      </c>
      <c r="M51" t="inlineStr">
        <is>
          <t>1995</t>
        </is>
      </c>
      <c r="O51" t="inlineStr">
        <is>
          <t>eng</t>
        </is>
      </c>
      <c r="P51" t="inlineStr">
        <is>
          <t>riu</t>
        </is>
      </c>
      <c r="R51" t="inlineStr">
        <is>
          <t xml:space="preserve">R  </t>
        </is>
      </c>
      <c r="S51" t="n">
        <v>4</v>
      </c>
      <c r="T51" t="n">
        <v>4</v>
      </c>
      <c r="U51" t="inlineStr">
        <is>
          <t>2004-11-21</t>
        </is>
      </c>
      <c r="V51" t="inlineStr">
        <is>
          <t>2004-11-21</t>
        </is>
      </c>
      <c r="W51" t="inlineStr">
        <is>
          <t>1999-04-28</t>
        </is>
      </c>
      <c r="X51" t="inlineStr">
        <is>
          <t>1999-04-28</t>
        </is>
      </c>
      <c r="Y51" t="n">
        <v>272</v>
      </c>
      <c r="Z51" t="n">
        <v>253</v>
      </c>
      <c r="AA51" t="n">
        <v>257</v>
      </c>
      <c r="AB51" t="n">
        <v>1</v>
      </c>
      <c r="AC51" t="n">
        <v>1</v>
      </c>
      <c r="AD51" t="n">
        <v>14</v>
      </c>
      <c r="AE51" t="n">
        <v>14</v>
      </c>
      <c r="AF51" t="n">
        <v>7</v>
      </c>
      <c r="AG51" t="n">
        <v>7</v>
      </c>
      <c r="AH51" t="n">
        <v>4</v>
      </c>
      <c r="AI51" t="n">
        <v>4</v>
      </c>
      <c r="AJ51" t="n">
        <v>6</v>
      </c>
      <c r="AK51" t="n">
        <v>6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HYPERLINK("http://catalog.hathitrust.org/Record/003049055","HathiTrust Record")</f>
        <v/>
      </c>
      <c r="AS51">
        <f>HYPERLINK("https://creighton-primo.hosted.exlibrisgroup.com/primo-explore/search?tab=default_tab&amp;search_scope=EVERYTHING&amp;vid=01CRU&amp;lang=en_US&amp;offset=0&amp;query=any,contains,991002541149702656","Catalog Record")</f>
        <v/>
      </c>
      <c r="AT51">
        <f>HYPERLINK("http://www.worldcat.org/oclc/33023414","WorldCat Record")</f>
        <v/>
      </c>
      <c r="AU51" t="inlineStr">
        <is>
          <t>32285000987056</t>
        </is>
      </c>
      <c r="AV51" t="inlineStr">
        <is>
          <t>893702551</t>
        </is>
      </c>
    </row>
    <row r="52">
      <c r="A52" t="inlineStr">
        <is>
          <t>No</t>
        </is>
      </c>
      <c r="B52" t="inlineStr">
        <is>
          <t>R151 .B58 1976</t>
        </is>
      </c>
      <c r="C52" t="inlineStr">
        <is>
          <t>0                      R  0151000B  58          1976</t>
        </is>
      </c>
      <c r="D52" t="inlineStr">
        <is>
          <t>Two centuries of American medicine, 1776-1976 / James Bordley III, A. McGehee Harvey.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Bordley, James, 1900-1979.</t>
        </is>
      </c>
      <c r="L52" t="inlineStr">
        <is>
          <t>Philadelphia : Saunders, 1976.</t>
        </is>
      </c>
      <c r="M52" t="inlineStr">
        <is>
          <t>1976</t>
        </is>
      </c>
      <c r="O52" t="inlineStr">
        <is>
          <t>eng</t>
        </is>
      </c>
      <c r="P52" t="inlineStr">
        <is>
          <t>pau</t>
        </is>
      </c>
      <c r="R52" t="inlineStr">
        <is>
          <t xml:space="preserve">R  </t>
        </is>
      </c>
      <c r="S52" t="n">
        <v>5</v>
      </c>
      <c r="T52" t="n">
        <v>5</v>
      </c>
      <c r="U52" t="inlineStr">
        <is>
          <t>1993-07-12</t>
        </is>
      </c>
      <c r="V52" t="inlineStr">
        <is>
          <t>1993-07-12</t>
        </is>
      </c>
      <c r="W52" t="inlineStr">
        <is>
          <t>1992-01-27</t>
        </is>
      </c>
      <c r="X52" t="inlineStr">
        <is>
          <t>1992-01-27</t>
        </is>
      </c>
      <c r="Y52" t="n">
        <v>1019</v>
      </c>
      <c r="Z52" t="n">
        <v>931</v>
      </c>
      <c r="AA52" t="n">
        <v>941</v>
      </c>
      <c r="AB52" t="n">
        <v>4</v>
      </c>
      <c r="AC52" t="n">
        <v>4</v>
      </c>
      <c r="AD52" t="n">
        <v>18</v>
      </c>
      <c r="AE52" t="n">
        <v>18</v>
      </c>
      <c r="AF52" t="n">
        <v>7</v>
      </c>
      <c r="AG52" t="n">
        <v>7</v>
      </c>
      <c r="AH52" t="n">
        <v>5</v>
      </c>
      <c r="AI52" t="n">
        <v>5</v>
      </c>
      <c r="AJ52" t="n">
        <v>8</v>
      </c>
      <c r="AK52" t="n">
        <v>8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HYPERLINK("http://catalog.hathitrust.org/Record/000683343","HathiTrust Record")</f>
        <v/>
      </c>
      <c r="AS52">
        <f>HYPERLINK("https://creighton-primo.hosted.exlibrisgroup.com/primo-explore/search?tab=default_tab&amp;search_scope=EVERYTHING&amp;vid=01CRU&amp;lang=en_US&amp;offset=0&amp;query=any,contains,991001773539702656","Catalog Record")</f>
        <v/>
      </c>
      <c r="AT52">
        <f>HYPERLINK("http://www.worldcat.org/oclc/2034692","WorldCat Record")</f>
        <v/>
      </c>
      <c r="AU52" t="inlineStr">
        <is>
          <t>32285000912393</t>
        </is>
      </c>
      <c r="AV52" t="inlineStr">
        <is>
          <t>893694089</t>
        </is>
      </c>
    </row>
    <row r="53">
      <c r="A53" t="inlineStr">
        <is>
          <t>No</t>
        </is>
      </c>
      <c r="B53" t="inlineStr">
        <is>
          <t>R151 .B75 1972</t>
        </is>
      </c>
      <c r="C53" t="inlineStr">
        <is>
          <t>0                      R  0151000B  75          1972</t>
        </is>
      </c>
      <c r="D53" t="inlineStr">
        <is>
          <t>Medical America in the nineteenth century : readings from the literature / edited by Gert H. Brieger.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Brieger, Gert H., compiler.</t>
        </is>
      </c>
      <c r="L53" t="inlineStr">
        <is>
          <t>Baltimore : Johns Hopkins Press, [1972]</t>
        </is>
      </c>
      <c r="M53" t="inlineStr">
        <is>
          <t>1972</t>
        </is>
      </c>
      <c r="O53" t="inlineStr">
        <is>
          <t>eng</t>
        </is>
      </c>
      <c r="P53" t="inlineStr">
        <is>
          <t>mdu</t>
        </is>
      </c>
      <c r="R53" t="inlineStr">
        <is>
          <t xml:space="preserve">R  </t>
        </is>
      </c>
      <c r="S53" t="n">
        <v>5</v>
      </c>
      <c r="T53" t="n">
        <v>5</v>
      </c>
      <c r="U53" t="inlineStr">
        <is>
          <t>2005-10-10</t>
        </is>
      </c>
      <c r="V53" t="inlineStr">
        <is>
          <t>2005-10-10</t>
        </is>
      </c>
      <c r="W53" t="inlineStr">
        <is>
          <t>1991-12-10</t>
        </is>
      </c>
      <c r="X53" t="inlineStr">
        <is>
          <t>1991-12-10</t>
        </is>
      </c>
      <c r="Y53" t="n">
        <v>506</v>
      </c>
      <c r="Z53" t="n">
        <v>460</v>
      </c>
      <c r="AA53" t="n">
        <v>501</v>
      </c>
      <c r="AB53" t="n">
        <v>5</v>
      </c>
      <c r="AC53" t="n">
        <v>5</v>
      </c>
      <c r="AD53" t="n">
        <v>18</v>
      </c>
      <c r="AE53" t="n">
        <v>21</v>
      </c>
      <c r="AF53" t="n">
        <v>6</v>
      </c>
      <c r="AG53" t="n">
        <v>8</v>
      </c>
      <c r="AH53" t="n">
        <v>5</v>
      </c>
      <c r="AI53" t="n">
        <v>6</v>
      </c>
      <c r="AJ53" t="n">
        <v>8</v>
      </c>
      <c r="AK53" t="n">
        <v>9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HYPERLINK("http://catalog.hathitrust.org/Record/000004345","HathiTrust Record")</f>
        <v/>
      </c>
      <c r="AS53">
        <f>HYPERLINK("https://creighton-primo.hosted.exlibrisgroup.com/primo-explore/search?tab=default_tab&amp;search_scope=EVERYTHING&amp;vid=01CRU&amp;lang=en_US&amp;offset=0&amp;query=any,contains,991001773579702656","Catalog Record")</f>
        <v/>
      </c>
      <c r="AT53">
        <f>HYPERLINK("http://www.worldcat.org/oclc/303937","WorldCat Record")</f>
        <v/>
      </c>
      <c r="AU53" t="inlineStr">
        <is>
          <t>32285001097053</t>
        </is>
      </c>
      <c r="AV53" t="inlineStr">
        <is>
          <t>893882371</t>
        </is>
      </c>
    </row>
    <row r="54">
      <c r="A54" t="inlineStr">
        <is>
          <t>No</t>
        </is>
      </c>
      <c r="B54" t="inlineStr">
        <is>
          <t>R151 .R68 1972</t>
        </is>
      </c>
      <c r="C54" t="inlineStr">
        <is>
          <t>0                      R  0151000R  68          1972</t>
        </is>
      </c>
      <c r="D54" t="inlineStr">
        <is>
          <t>American physicians in the nineteenth century : from sects to science / [by] William G. Rothstein.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Rothstein, William G.</t>
        </is>
      </c>
      <c r="L54" t="inlineStr">
        <is>
          <t>Baltimore : Johns Hopkins University Press, [1972]</t>
        </is>
      </c>
      <c r="M54" t="inlineStr">
        <is>
          <t>1972</t>
        </is>
      </c>
      <c r="O54" t="inlineStr">
        <is>
          <t>eng</t>
        </is>
      </c>
      <c r="P54" t="inlineStr">
        <is>
          <t>mdu</t>
        </is>
      </c>
      <c r="R54" t="inlineStr">
        <is>
          <t xml:space="preserve">R  </t>
        </is>
      </c>
      <c r="S54" t="n">
        <v>3</v>
      </c>
      <c r="T54" t="n">
        <v>3</v>
      </c>
      <c r="U54" t="inlineStr">
        <is>
          <t>1996-11-19</t>
        </is>
      </c>
      <c r="V54" t="inlineStr">
        <is>
          <t>1996-11-19</t>
        </is>
      </c>
      <c r="W54" t="inlineStr">
        <is>
          <t>1991-12-10</t>
        </is>
      </c>
      <c r="X54" t="inlineStr">
        <is>
          <t>1991-12-10</t>
        </is>
      </c>
      <c r="Y54" t="n">
        <v>642</v>
      </c>
      <c r="Z54" t="n">
        <v>562</v>
      </c>
      <c r="AA54" t="n">
        <v>618</v>
      </c>
      <c r="AB54" t="n">
        <v>5</v>
      </c>
      <c r="AC54" t="n">
        <v>5</v>
      </c>
      <c r="AD54" t="n">
        <v>22</v>
      </c>
      <c r="AE54" t="n">
        <v>25</v>
      </c>
      <c r="AF54" t="n">
        <v>8</v>
      </c>
      <c r="AG54" t="n">
        <v>9</v>
      </c>
      <c r="AH54" t="n">
        <v>4</v>
      </c>
      <c r="AI54" t="n">
        <v>6</v>
      </c>
      <c r="AJ54" t="n">
        <v>9</v>
      </c>
      <c r="AK54" t="n">
        <v>11</v>
      </c>
      <c r="AL54" t="n">
        <v>4</v>
      </c>
      <c r="AM54" t="n">
        <v>4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HYPERLINK("http://catalog.hathitrust.org/Record/000005823","HathiTrust Record")</f>
        <v/>
      </c>
      <c r="AS54">
        <f>HYPERLINK("https://creighton-primo.hosted.exlibrisgroup.com/primo-explore/search?tab=default_tab&amp;search_scope=EVERYTHING&amp;vid=01CRU&amp;lang=en_US&amp;offset=0&amp;query=any,contains,991002730819702656","Catalog Record")</f>
        <v/>
      </c>
      <c r="AT54">
        <f>HYPERLINK("http://www.worldcat.org/oclc/416461","WorldCat Record")</f>
        <v/>
      </c>
      <c r="AU54" t="inlineStr">
        <is>
          <t>32285001547982</t>
        </is>
      </c>
      <c r="AV54" t="inlineStr">
        <is>
          <t>893238341</t>
        </is>
      </c>
    </row>
    <row r="55">
      <c r="A55" t="inlineStr">
        <is>
          <t>No</t>
        </is>
      </c>
      <c r="B55" t="inlineStr">
        <is>
          <t>R152 .H354 1981</t>
        </is>
      </c>
      <c r="C55" t="inlineStr">
        <is>
          <t>0                      R  0152000H  354         1981</t>
        </is>
      </c>
      <c r="D55" t="inlineStr">
        <is>
          <t>American medicine in transition 1840-1910 / by John S. Haller, Jr.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Haller, John S., Jr., 1940-</t>
        </is>
      </c>
      <c r="L55" t="inlineStr">
        <is>
          <t>Urbana : University of Illinois Press, c1981.</t>
        </is>
      </c>
      <c r="M55" t="inlineStr">
        <is>
          <t>1981</t>
        </is>
      </c>
      <c r="O55" t="inlineStr">
        <is>
          <t>eng</t>
        </is>
      </c>
      <c r="P55" t="inlineStr">
        <is>
          <t>ilu</t>
        </is>
      </c>
      <c r="R55" t="inlineStr">
        <is>
          <t xml:space="preserve">R  </t>
        </is>
      </c>
      <c r="S55" t="n">
        <v>2</v>
      </c>
      <c r="T55" t="n">
        <v>2</v>
      </c>
      <c r="U55" t="inlineStr">
        <is>
          <t>2005-10-10</t>
        </is>
      </c>
      <c r="V55" t="inlineStr">
        <is>
          <t>2005-10-10</t>
        </is>
      </c>
      <c r="W55" t="inlineStr">
        <is>
          <t>1993-03-05</t>
        </is>
      </c>
      <c r="X55" t="inlineStr">
        <is>
          <t>1993-03-05</t>
        </is>
      </c>
      <c r="Y55" t="n">
        <v>556</v>
      </c>
      <c r="Z55" t="n">
        <v>504</v>
      </c>
      <c r="AA55" t="n">
        <v>519</v>
      </c>
      <c r="AB55" t="n">
        <v>3</v>
      </c>
      <c r="AC55" t="n">
        <v>3</v>
      </c>
      <c r="AD55" t="n">
        <v>21</v>
      </c>
      <c r="AE55" t="n">
        <v>22</v>
      </c>
      <c r="AF55" t="n">
        <v>10</v>
      </c>
      <c r="AG55" t="n">
        <v>11</v>
      </c>
      <c r="AH55" t="n">
        <v>6</v>
      </c>
      <c r="AI55" t="n">
        <v>6</v>
      </c>
      <c r="AJ55" t="n">
        <v>9</v>
      </c>
      <c r="AK55" t="n">
        <v>10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HYPERLINK("https://creighton-primo.hosted.exlibrisgroup.com/primo-explore/search?tab=default_tab&amp;search_scope=EVERYTHING&amp;vid=01CRU&amp;lang=en_US&amp;offset=0&amp;query=any,contains,991004952369702656","Catalog Record")</f>
        <v/>
      </c>
      <c r="AT55">
        <f>HYPERLINK("http://www.worldcat.org/oclc/6251422","WorldCat Record")</f>
        <v/>
      </c>
      <c r="AU55" t="inlineStr">
        <is>
          <t>32285000911775</t>
        </is>
      </c>
      <c r="AV55" t="inlineStr">
        <is>
          <t>893256514</t>
        </is>
      </c>
    </row>
    <row r="56">
      <c r="A56" t="inlineStr">
        <is>
          <t>No</t>
        </is>
      </c>
      <c r="B56" t="inlineStr">
        <is>
          <t>R152 .K56 1984</t>
        </is>
      </c>
      <c r="C56" t="inlineStr">
        <is>
          <t>0                      R  0152000K  56          1984</t>
        </is>
      </c>
      <c r="D56" t="inlineStr">
        <is>
          <t>American medicine comes of age, 1840-1920 : essays to commemorate the founding of the Journal of the American Medical Association, July 14, 1883 / Lester S. King.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King, Lester S. (Lester Snow), 1908-2002.</t>
        </is>
      </c>
      <c r="L56" t="inlineStr">
        <is>
          <t>[Chicago, Ill.] : AMA, c1984.</t>
        </is>
      </c>
      <c r="M56" t="inlineStr">
        <is>
          <t>1984</t>
        </is>
      </c>
      <c r="O56" t="inlineStr">
        <is>
          <t>eng</t>
        </is>
      </c>
      <c r="P56" t="inlineStr">
        <is>
          <t>ilu</t>
        </is>
      </c>
      <c r="R56" t="inlineStr">
        <is>
          <t xml:space="preserve">R  </t>
        </is>
      </c>
      <c r="S56" t="n">
        <v>2</v>
      </c>
      <c r="T56" t="n">
        <v>2</v>
      </c>
      <c r="U56" t="inlineStr">
        <is>
          <t>2001-04-18</t>
        </is>
      </c>
      <c r="V56" t="inlineStr">
        <is>
          <t>2001-04-18</t>
        </is>
      </c>
      <c r="W56" t="inlineStr">
        <is>
          <t>1992-01-27</t>
        </is>
      </c>
      <c r="X56" t="inlineStr">
        <is>
          <t>1992-01-27</t>
        </is>
      </c>
      <c r="Y56" t="n">
        <v>218</v>
      </c>
      <c r="Z56" t="n">
        <v>198</v>
      </c>
      <c r="AA56" t="n">
        <v>200</v>
      </c>
      <c r="AB56" t="n">
        <v>2</v>
      </c>
      <c r="AC56" t="n">
        <v>2</v>
      </c>
      <c r="AD56" t="n">
        <v>9</v>
      </c>
      <c r="AE56" t="n">
        <v>9</v>
      </c>
      <c r="AF56" t="n">
        <v>3</v>
      </c>
      <c r="AG56" t="n">
        <v>3</v>
      </c>
      <c r="AH56" t="n">
        <v>1</v>
      </c>
      <c r="AI56" t="n">
        <v>1</v>
      </c>
      <c r="AJ56" t="n">
        <v>3</v>
      </c>
      <c r="AK56" t="n">
        <v>3</v>
      </c>
      <c r="AL56" t="n">
        <v>1</v>
      </c>
      <c r="AM56" t="n">
        <v>1</v>
      </c>
      <c r="AN56" t="n">
        <v>1</v>
      </c>
      <c r="AO56" t="n">
        <v>1</v>
      </c>
      <c r="AP56" t="inlineStr">
        <is>
          <t>No</t>
        </is>
      </c>
      <c r="AQ56" t="inlineStr">
        <is>
          <t>Yes</t>
        </is>
      </c>
      <c r="AR56">
        <f>HYPERLINK("http://catalog.hathitrust.org/Record/002715799","HathiTrust Record")</f>
        <v/>
      </c>
      <c r="AS56">
        <f>HYPERLINK("https://creighton-primo.hosted.exlibrisgroup.com/primo-explore/search?tab=default_tab&amp;search_scope=EVERYTHING&amp;vid=01CRU&amp;lang=en_US&amp;offset=0&amp;query=any,contains,991000655579702656","Catalog Record")</f>
        <v/>
      </c>
      <c r="AT56">
        <f>HYPERLINK("http://www.worldcat.org/oclc/12214782","WorldCat Record")</f>
        <v/>
      </c>
      <c r="AU56" t="inlineStr">
        <is>
          <t>32285000156025</t>
        </is>
      </c>
      <c r="AV56" t="inlineStr">
        <is>
          <t>893346274</t>
        </is>
      </c>
    </row>
    <row r="57">
      <c r="A57" t="inlineStr">
        <is>
          <t>No</t>
        </is>
      </c>
      <c r="B57" t="inlineStr">
        <is>
          <t>R152 .W45 1984</t>
        </is>
      </c>
      <c r="C57" t="inlineStr">
        <is>
          <t>0                      R  0152000W  45          1984</t>
        </is>
      </c>
      <c r="D57" t="inlineStr">
        <is>
          <t>Conversations in medicine : the story of twentieth-century American medicine in the words of those who created it / Allen B. Weisse.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Weisse, Allen B.</t>
        </is>
      </c>
      <c r="L57" t="inlineStr">
        <is>
          <t>New York : New York University Press, 1984.</t>
        </is>
      </c>
      <c r="M57" t="inlineStr">
        <is>
          <t>1984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R  </t>
        </is>
      </c>
      <c r="S57" t="n">
        <v>1</v>
      </c>
      <c r="T57" t="n">
        <v>1</v>
      </c>
      <c r="U57" t="inlineStr">
        <is>
          <t>2002-03-28</t>
        </is>
      </c>
      <c r="V57" t="inlineStr">
        <is>
          <t>2002-03-28</t>
        </is>
      </c>
      <c r="W57" t="inlineStr">
        <is>
          <t>1993-03-05</t>
        </is>
      </c>
      <c r="X57" t="inlineStr">
        <is>
          <t>1993-03-05</t>
        </is>
      </c>
      <c r="Y57" t="n">
        <v>375</v>
      </c>
      <c r="Z57" t="n">
        <v>342</v>
      </c>
      <c r="AA57" t="n">
        <v>349</v>
      </c>
      <c r="AB57" t="n">
        <v>3</v>
      </c>
      <c r="AC57" t="n">
        <v>3</v>
      </c>
      <c r="AD57" t="n">
        <v>7</v>
      </c>
      <c r="AE57" t="n">
        <v>7</v>
      </c>
      <c r="AF57" t="n">
        <v>1</v>
      </c>
      <c r="AG57" t="n">
        <v>1</v>
      </c>
      <c r="AH57" t="n">
        <v>3</v>
      </c>
      <c r="AI57" t="n">
        <v>3</v>
      </c>
      <c r="AJ57" t="n">
        <v>3</v>
      </c>
      <c r="AK57" t="n">
        <v>3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HYPERLINK("http://catalog.hathitrust.org/Record/000342873","HathiTrust Record")</f>
        <v/>
      </c>
      <c r="AS57">
        <f>HYPERLINK("https://creighton-primo.hosted.exlibrisgroup.com/primo-explore/search?tab=default_tab&amp;search_scope=EVERYTHING&amp;vid=01CRU&amp;lang=en_US&amp;offset=0&amp;query=any,contains,991000349869702656","Catalog Record")</f>
        <v/>
      </c>
      <c r="AT57">
        <f>HYPERLINK("http://www.worldcat.org/oclc/10300895","WorldCat Record")</f>
        <v/>
      </c>
      <c r="AU57" t="inlineStr">
        <is>
          <t>32285002140530</t>
        </is>
      </c>
      <c r="AV57" t="inlineStr">
        <is>
          <t>893408840</t>
        </is>
      </c>
    </row>
    <row r="58">
      <c r="A58" t="inlineStr">
        <is>
          <t>No</t>
        </is>
      </c>
      <c r="B58" t="inlineStr">
        <is>
          <t>R154.C17 A3 2005</t>
        </is>
      </c>
      <c r="C58" t="inlineStr">
        <is>
          <t>0                      R  0154000C  17                 A  3           2005</t>
        </is>
      </c>
      <c r="D58" t="inlineStr">
        <is>
          <t>To bear witness : a journey of healing and solidarity / Kevin M. Cahill.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Cahill, Kevin M.</t>
        </is>
      </c>
      <c r="L58" t="inlineStr">
        <is>
          <t>New York : Fordham University Press, 2005.</t>
        </is>
      </c>
      <c r="M58" t="inlineStr">
        <is>
          <t>2005</t>
        </is>
      </c>
      <c r="N58" t="inlineStr">
        <is>
          <t>1st ed.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R  </t>
        </is>
      </c>
      <c r="S58" t="n">
        <v>3</v>
      </c>
      <c r="T58" t="n">
        <v>3</v>
      </c>
      <c r="U58" t="inlineStr">
        <is>
          <t>2009-10-01</t>
        </is>
      </c>
      <c r="V58" t="inlineStr">
        <is>
          <t>2009-10-01</t>
        </is>
      </c>
      <c r="W58" t="inlineStr">
        <is>
          <t>2007-04-12</t>
        </is>
      </c>
      <c r="X58" t="inlineStr">
        <is>
          <t>2007-04-12</t>
        </is>
      </c>
      <c r="Y58" t="n">
        <v>139</v>
      </c>
      <c r="Z58" t="n">
        <v>129</v>
      </c>
      <c r="AA58" t="n">
        <v>567</v>
      </c>
      <c r="AB58" t="n">
        <v>1</v>
      </c>
      <c r="AC58" t="n">
        <v>3</v>
      </c>
      <c r="AD58" t="n">
        <v>10</v>
      </c>
      <c r="AE58" t="n">
        <v>22</v>
      </c>
      <c r="AF58" t="n">
        <v>1</v>
      </c>
      <c r="AG58" t="n">
        <v>8</v>
      </c>
      <c r="AH58" t="n">
        <v>4</v>
      </c>
      <c r="AI58" t="n">
        <v>7</v>
      </c>
      <c r="AJ58" t="n">
        <v>7</v>
      </c>
      <c r="AK58" t="n">
        <v>12</v>
      </c>
      <c r="AL58" t="n">
        <v>0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HYPERLINK("https://creighton-primo.hosted.exlibrisgroup.com/primo-explore/search?tab=default_tab&amp;search_scope=EVERYTHING&amp;vid=01CRU&amp;lang=en_US&amp;offset=0&amp;query=any,contains,991005068369702656","Catalog Record")</f>
        <v/>
      </c>
      <c r="AT58">
        <f>HYPERLINK("http://www.worldcat.org/oclc/60603273","WorldCat Record")</f>
        <v/>
      </c>
      <c r="AU58" t="inlineStr">
        <is>
          <t>32285002140548</t>
        </is>
      </c>
      <c r="AV58" t="inlineStr">
        <is>
          <t>893408839</t>
        </is>
      </c>
    </row>
    <row r="59">
      <c r="A59" t="inlineStr">
        <is>
          <t>No</t>
        </is>
      </c>
      <c r="B59" t="inlineStr">
        <is>
          <t>R154.C96 F8</t>
        </is>
      </c>
      <c r="C59" t="inlineStr">
        <is>
          <t>0                      R  0154000C  96                 F  8</t>
        </is>
      </c>
      <c r="D59" t="inlineStr">
        <is>
          <t>Harvey Cushing : a biography / by John F. Fulton. --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Fulton, John F. (John Farquhar), 1899-1960.</t>
        </is>
      </c>
      <c r="L59" t="inlineStr">
        <is>
          <t>Springfield, Ill. : C. C. Thomas, 1946.</t>
        </is>
      </c>
      <c r="M59" t="inlineStr">
        <is>
          <t>1946</t>
        </is>
      </c>
      <c r="O59" t="inlineStr">
        <is>
          <t>eng</t>
        </is>
      </c>
      <c r="P59" t="inlineStr">
        <is>
          <t>___</t>
        </is>
      </c>
      <c r="Q59" t="inlineStr">
        <is>
          <t>Yale university. School of medicine. Yale medical library. Historical library. Publication no. 13</t>
        </is>
      </c>
      <c r="R59" t="inlineStr">
        <is>
          <t xml:space="preserve">R  </t>
        </is>
      </c>
      <c r="S59" t="n">
        <v>2</v>
      </c>
      <c r="T59" t="n">
        <v>2</v>
      </c>
      <c r="U59" t="inlineStr">
        <is>
          <t>1993-09-05</t>
        </is>
      </c>
      <c r="V59" t="inlineStr">
        <is>
          <t>1993-09-05</t>
        </is>
      </c>
      <c r="W59" t="inlineStr">
        <is>
          <t>1993-03-05</t>
        </is>
      </c>
      <c r="X59" t="inlineStr">
        <is>
          <t>1993-03-05</t>
        </is>
      </c>
      <c r="Y59" t="n">
        <v>606</v>
      </c>
      <c r="Z59" t="n">
        <v>545</v>
      </c>
      <c r="AA59" t="n">
        <v>622</v>
      </c>
      <c r="AB59" t="n">
        <v>5</v>
      </c>
      <c r="AC59" t="n">
        <v>5</v>
      </c>
      <c r="AD59" t="n">
        <v>20</v>
      </c>
      <c r="AE59" t="n">
        <v>26</v>
      </c>
      <c r="AF59" t="n">
        <v>6</v>
      </c>
      <c r="AG59" t="n">
        <v>9</v>
      </c>
      <c r="AH59" t="n">
        <v>7</v>
      </c>
      <c r="AI59" t="n">
        <v>8</v>
      </c>
      <c r="AJ59" t="n">
        <v>8</v>
      </c>
      <c r="AK59" t="n">
        <v>11</v>
      </c>
      <c r="AL59" t="n">
        <v>3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HYPERLINK("http://catalog.hathitrust.org/Record/002078026","HathiTrust Record")</f>
        <v/>
      </c>
      <c r="AS59">
        <f>HYPERLINK("https://creighton-primo.hosted.exlibrisgroup.com/primo-explore/search?tab=default_tab&amp;search_scope=EVERYTHING&amp;vid=01CRU&amp;lang=en_US&amp;offset=0&amp;query=any,contains,991002725319702656","Catalog Record")</f>
        <v/>
      </c>
      <c r="AT59">
        <f>HYPERLINK("http://www.worldcat.org/oclc/11523448","WorldCat Record")</f>
        <v/>
      </c>
      <c r="AU59" t="inlineStr">
        <is>
          <t>32285001548006</t>
        </is>
      </c>
      <c r="AV59" t="inlineStr">
        <is>
          <t>893260028</t>
        </is>
      </c>
    </row>
    <row r="60">
      <c r="A60" t="inlineStr">
        <is>
          <t>No</t>
        </is>
      </c>
      <c r="B60" t="inlineStr">
        <is>
          <t>R154.R355 A3 1987</t>
        </is>
      </c>
      <c r="C60" t="inlineStr">
        <is>
          <t>0                      R  0154000R  355                A  3           1987</t>
        </is>
      </c>
      <c r="D60" t="inlineStr">
        <is>
          <t>To do no harm : a journey through medical school / Philip Reilly.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Reilly, Philip, 1947-</t>
        </is>
      </c>
      <c r="L60" t="inlineStr">
        <is>
          <t>Dover, Mass. : Auburn House Pub. Co., c1987.</t>
        </is>
      </c>
      <c r="M60" t="inlineStr">
        <is>
          <t>1987</t>
        </is>
      </c>
      <c r="O60" t="inlineStr">
        <is>
          <t>eng</t>
        </is>
      </c>
      <c r="P60" t="inlineStr">
        <is>
          <t>mau</t>
        </is>
      </c>
      <c r="R60" t="inlineStr">
        <is>
          <t xml:space="preserve">R  </t>
        </is>
      </c>
      <c r="S60" t="n">
        <v>12</v>
      </c>
      <c r="T60" t="n">
        <v>12</v>
      </c>
      <c r="U60" t="inlineStr">
        <is>
          <t>2007-03-02</t>
        </is>
      </c>
      <c r="V60" t="inlineStr">
        <is>
          <t>2007-03-02</t>
        </is>
      </c>
      <c r="W60" t="inlineStr">
        <is>
          <t>1990-07-17</t>
        </is>
      </c>
      <c r="X60" t="inlineStr">
        <is>
          <t>1990-07-17</t>
        </is>
      </c>
      <c r="Y60" t="n">
        <v>215</v>
      </c>
      <c r="Z60" t="n">
        <v>189</v>
      </c>
      <c r="AA60" t="n">
        <v>192</v>
      </c>
      <c r="AB60" t="n">
        <v>1</v>
      </c>
      <c r="AC60" t="n">
        <v>1</v>
      </c>
      <c r="AD60" t="n">
        <v>5</v>
      </c>
      <c r="AE60" t="n">
        <v>5</v>
      </c>
      <c r="AF60" t="n">
        <v>4</v>
      </c>
      <c r="AG60" t="n">
        <v>4</v>
      </c>
      <c r="AH60" t="n">
        <v>1</v>
      </c>
      <c r="AI60" t="n">
        <v>1</v>
      </c>
      <c r="AJ60" t="n">
        <v>2</v>
      </c>
      <c r="AK60" t="n">
        <v>2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HYPERLINK("http://catalog.hathitrust.org/Record/000825143","HathiTrust Record")</f>
        <v/>
      </c>
      <c r="AS60">
        <f>HYPERLINK("https://creighton-primo.hosted.exlibrisgroup.com/primo-explore/search?tab=default_tab&amp;search_scope=EVERYTHING&amp;vid=01CRU&amp;lang=en_US&amp;offset=0&amp;query=any,contains,991000941089702656","Catalog Record")</f>
        <v/>
      </c>
      <c r="AT60">
        <f>HYPERLINK("http://www.worldcat.org/oclc/14412012","WorldCat Record")</f>
        <v/>
      </c>
      <c r="AU60" t="inlineStr">
        <is>
          <t>32285001498053</t>
        </is>
      </c>
      <c r="AV60" t="inlineStr">
        <is>
          <t>893444814</t>
        </is>
      </c>
    </row>
    <row r="61">
      <c r="A61" t="inlineStr">
        <is>
          <t>No</t>
        </is>
      </c>
      <c r="B61" t="inlineStr">
        <is>
          <t>R154.S358 A3 1992</t>
        </is>
      </c>
      <c r="C61" t="inlineStr">
        <is>
          <t>0                      R  0154000S  358                A  3           1992</t>
        </is>
      </c>
      <c r="D61" t="inlineStr">
        <is>
          <t>Down from Troy : a doctor comes of age / Richard Selzer.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Selzer, Richard, 1928-2016.</t>
        </is>
      </c>
      <c r="L61" t="inlineStr">
        <is>
          <t>New York : William Morrow, c1992.</t>
        </is>
      </c>
      <c r="M61" t="inlineStr">
        <is>
          <t>1992</t>
        </is>
      </c>
      <c r="N61" t="inlineStr">
        <is>
          <t>1st ed.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R  </t>
        </is>
      </c>
      <c r="S61" t="n">
        <v>4</v>
      </c>
      <c r="T61" t="n">
        <v>4</v>
      </c>
      <c r="U61" t="inlineStr">
        <is>
          <t>1995-04-25</t>
        </is>
      </c>
      <c r="V61" t="inlineStr">
        <is>
          <t>1995-04-25</t>
        </is>
      </c>
      <c r="W61" t="inlineStr">
        <is>
          <t>1993-07-14</t>
        </is>
      </c>
      <c r="X61" t="inlineStr">
        <is>
          <t>1993-07-14</t>
        </is>
      </c>
      <c r="Y61" t="n">
        <v>448</v>
      </c>
      <c r="Z61" t="n">
        <v>432</v>
      </c>
      <c r="AA61" t="n">
        <v>563</v>
      </c>
      <c r="AB61" t="n">
        <v>4</v>
      </c>
      <c r="AC61" t="n">
        <v>6</v>
      </c>
      <c r="AD61" t="n">
        <v>8</v>
      </c>
      <c r="AE61" t="n">
        <v>12</v>
      </c>
      <c r="AF61" t="n">
        <v>1</v>
      </c>
      <c r="AG61" t="n">
        <v>2</v>
      </c>
      <c r="AH61" t="n">
        <v>3</v>
      </c>
      <c r="AI61" t="n">
        <v>4</v>
      </c>
      <c r="AJ61" t="n">
        <v>4</v>
      </c>
      <c r="AK61" t="n">
        <v>6</v>
      </c>
      <c r="AL61" t="n">
        <v>1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HYPERLINK("http://catalog.hathitrust.org/Record/002559457","HathiTrust Record")</f>
        <v/>
      </c>
      <c r="AS61">
        <f>HYPERLINK("https://creighton-primo.hosted.exlibrisgroup.com/primo-explore/search?tab=default_tab&amp;search_scope=EVERYTHING&amp;vid=01CRU&amp;lang=en_US&amp;offset=0&amp;query=any,contains,991001964859702656","Catalog Record")</f>
        <v/>
      </c>
      <c r="AT61">
        <f>HYPERLINK("http://www.worldcat.org/oclc/24906969","WorldCat Record")</f>
        <v/>
      </c>
      <c r="AU61" t="inlineStr">
        <is>
          <t>32285001362887</t>
        </is>
      </c>
      <c r="AV61" t="inlineStr">
        <is>
          <t>893256686</t>
        </is>
      </c>
    </row>
    <row r="62">
      <c r="A62" t="inlineStr">
        <is>
          <t>No</t>
        </is>
      </c>
      <c r="B62" t="inlineStr">
        <is>
          <t>R154.V57 A33</t>
        </is>
      </c>
      <c r="C62" t="inlineStr">
        <is>
          <t>0                      R  0154000V  57                 A  33</t>
        </is>
      </c>
      <c r="D62" t="inlineStr">
        <is>
          <t>The making of a psychiatrist [by] David S. Viscott.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Viscott, David S., 1938-</t>
        </is>
      </c>
      <c r="L62" t="inlineStr">
        <is>
          <t>New York, Arbor House [1972]</t>
        </is>
      </c>
      <c r="M62" t="inlineStr">
        <is>
          <t>1972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R  </t>
        </is>
      </c>
      <c r="S62" t="n">
        <v>1</v>
      </c>
      <c r="T62" t="n">
        <v>1</v>
      </c>
      <c r="U62" t="inlineStr">
        <is>
          <t>2003-09-17</t>
        </is>
      </c>
      <c r="V62" t="inlineStr">
        <is>
          <t>2003-09-17</t>
        </is>
      </c>
      <c r="W62" t="inlineStr">
        <is>
          <t>1997-08-07</t>
        </is>
      </c>
      <c r="X62" t="inlineStr">
        <is>
          <t>1997-08-07</t>
        </is>
      </c>
      <c r="Y62" t="n">
        <v>946</v>
      </c>
      <c r="Z62" t="n">
        <v>881</v>
      </c>
      <c r="AA62" t="n">
        <v>932</v>
      </c>
      <c r="AB62" t="n">
        <v>11</v>
      </c>
      <c r="AC62" t="n">
        <v>11</v>
      </c>
      <c r="AD62" t="n">
        <v>26</v>
      </c>
      <c r="AE62" t="n">
        <v>26</v>
      </c>
      <c r="AF62" t="n">
        <v>7</v>
      </c>
      <c r="AG62" t="n">
        <v>7</v>
      </c>
      <c r="AH62" t="n">
        <v>5</v>
      </c>
      <c r="AI62" t="n">
        <v>5</v>
      </c>
      <c r="AJ62" t="n">
        <v>12</v>
      </c>
      <c r="AK62" t="n">
        <v>12</v>
      </c>
      <c r="AL62" t="n">
        <v>6</v>
      </c>
      <c r="AM62" t="n">
        <v>6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HYPERLINK("https://creighton-primo.hosted.exlibrisgroup.com/primo-explore/search?tab=default_tab&amp;search_scope=EVERYTHING&amp;vid=01CRU&amp;lang=en_US&amp;offset=0&amp;query=any,contains,991002897399702656","Catalog Record")</f>
        <v/>
      </c>
      <c r="AT62">
        <f>HYPERLINK("http://www.worldcat.org/oclc/514772","WorldCat Record")</f>
        <v/>
      </c>
      <c r="AU62" t="inlineStr">
        <is>
          <t>32285000938828</t>
        </is>
      </c>
      <c r="AV62" t="inlineStr">
        <is>
          <t>893715765</t>
        </is>
      </c>
    </row>
    <row r="63">
      <c r="A63" t="inlineStr">
        <is>
          <t>No</t>
        </is>
      </c>
      <c r="B63" t="inlineStr">
        <is>
          <t>R154.W298 A33</t>
        </is>
      </c>
      <c r="C63" t="inlineStr">
        <is>
          <t>0                      R  0154000W  298                A  33</t>
        </is>
      </c>
      <c r="D63" t="inlineStr">
        <is>
          <t>A doctor on the California trail : the diary of Dr. John Hudson Wayman from Cambridge City, Indiana, to the gold fields in 1852 / edited by Edgeley Woodman Todd.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Wayman, John Hudson, 1820-1867.</t>
        </is>
      </c>
      <c r="L63" t="inlineStr">
        <is>
          <t>Denver : Old West Pub. Co., [1971]</t>
        </is>
      </c>
      <c r="M63" t="inlineStr">
        <is>
          <t>1971</t>
        </is>
      </c>
      <c r="O63" t="inlineStr">
        <is>
          <t>eng</t>
        </is>
      </c>
      <c r="P63" t="inlineStr">
        <is>
          <t>cou</t>
        </is>
      </c>
      <c r="R63" t="inlineStr">
        <is>
          <t xml:space="preserve">R  </t>
        </is>
      </c>
      <c r="S63" t="n">
        <v>1</v>
      </c>
      <c r="T63" t="n">
        <v>1</v>
      </c>
      <c r="U63" t="inlineStr">
        <is>
          <t>2005-12-14</t>
        </is>
      </c>
      <c r="V63" t="inlineStr">
        <is>
          <t>2005-12-14</t>
        </is>
      </c>
      <c r="W63" t="inlineStr">
        <is>
          <t>2005-12-14</t>
        </is>
      </c>
      <c r="X63" t="inlineStr">
        <is>
          <t>2005-12-14</t>
        </is>
      </c>
      <c r="Y63" t="n">
        <v>172</v>
      </c>
      <c r="Z63" t="n">
        <v>168</v>
      </c>
      <c r="AA63" t="n">
        <v>173</v>
      </c>
      <c r="AB63" t="n">
        <v>3</v>
      </c>
      <c r="AC63" t="n">
        <v>3</v>
      </c>
      <c r="AD63" t="n">
        <v>3</v>
      </c>
      <c r="AE63" t="n">
        <v>3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1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HYPERLINK("https://creighton-primo.hosted.exlibrisgroup.com/primo-explore/search?tab=default_tab&amp;search_scope=EVERYTHING&amp;vid=01CRU&amp;lang=en_US&amp;offset=0&amp;query=any,contains,991004703899702656","Catalog Record")</f>
        <v/>
      </c>
      <c r="AT63">
        <f>HYPERLINK("http://www.worldcat.org/oclc/509802","WorldCat Record")</f>
        <v/>
      </c>
      <c r="AU63" t="inlineStr">
        <is>
          <t>32285001548030</t>
        </is>
      </c>
      <c r="AV63" t="inlineStr">
        <is>
          <t>893884841</t>
        </is>
      </c>
    </row>
    <row r="64">
      <c r="A64" t="inlineStr">
        <is>
          <t>No</t>
        </is>
      </c>
      <c r="B64" t="inlineStr">
        <is>
          <t>R314.P5 K66 1977</t>
        </is>
      </c>
      <c r="C64" t="inlineStr">
        <is>
          <t>0                      R  0314000P  5                  K  66          1977</t>
        </is>
      </c>
      <c r="D64" t="inlineStr">
        <is>
          <t>Standard history of the medical profession of Philadelphia / by Burton A. Konkle, with the collaboration of James M. Anders ... [et al.] ; edited by Frederick P. Henry.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Konkle, Burton Alva, 1861-1944.</t>
        </is>
      </c>
      <c r="L64" t="inlineStr">
        <is>
          <t>New York : AMS Press, 1977.</t>
        </is>
      </c>
      <c r="M64" t="inlineStr">
        <is>
          <t>1977</t>
        </is>
      </c>
      <c r="N64" t="inlineStr">
        <is>
          <t>2d ed., enl. and corr., 1973-1974 / by Lisabeth M. Holloway ; with an index and bibliography.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R  </t>
        </is>
      </c>
      <c r="S64" t="n">
        <v>1</v>
      </c>
      <c r="T64" t="n">
        <v>1</v>
      </c>
      <c r="U64" t="inlineStr">
        <is>
          <t>2009-03-16</t>
        </is>
      </c>
      <c r="V64" t="inlineStr">
        <is>
          <t>2009-03-16</t>
        </is>
      </c>
      <c r="W64" t="inlineStr">
        <is>
          <t>1993-03-08</t>
        </is>
      </c>
      <c r="X64" t="inlineStr">
        <is>
          <t>1993-03-08</t>
        </is>
      </c>
      <c r="Y64" t="n">
        <v>64</v>
      </c>
      <c r="Z64" t="n">
        <v>59</v>
      </c>
      <c r="AA64" t="n">
        <v>70</v>
      </c>
      <c r="AB64" t="n">
        <v>2</v>
      </c>
      <c r="AC64" t="n">
        <v>2</v>
      </c>
      <c r="AD64" t="n">
        <v>1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1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HYPERLINK("http://catalog.hathitrust.org/Record/006156421","HathiTrust Record")</f>
        <v/>
      </c>
      <c r="AS64">
        <f>HYPERLINK("https://creighton-primo.hosted.exlibrisgroup.com/primo-explore/search?tab=default_tab&amp;search_scope=EVERYTHING&amp;vid=01CRU&amp;lang=en_US&amp;offset=0&amp;query=any,contains,991003788289702656","Catalog Record")</f>
        <v/>
      </c>
      <c r="AT64">
        <f>HYPERLINK("http://www.worldcat.org/oclc/1504817","WorldCat Record")</f>
        <v/>
      </c>
      <c r="AU64" t="inlineStr">
        <is>
          <t>32285001548048</t>
        </is>
      </c>
      <c r="AV64" t="inlineStr">
        <is>
          <t>893612778</t>
        </is>
      </c>
    </row>
    <row r="65">
      <c r="A65" t="inlineStr">
        <is>
          <t>No</t>
        </is>
      </c>
      <c r="B65" t="inlineStr">
        <is>
          <t>R471.G8 S5</t>
        </is>
      </c>
      <c r="C65" t="inlineStr">
        <is>
          <t>0                      R  0471000G  8                  S  5</t>
        </is>
      </c>
      <c r="D65" t="inlineStr">
        <is>
          <t>Illness and curing in a Guatemalan village : a study in ethnomedicine / George Simeon.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Simeon, George.</t>
        </is>
      </c>
      <c r="L65" t="inlineStr">
        <is>
          <t>Honolulu : University of Hawaii, 1977.</t>
        </is>
      </c>
      <c r="M65" t="inlineStr">
        <is>
          <t>1977</t>
        </is>
      </c>
      <c r="O65" t="inlineStr">
        <is>
          <t>eng</t>
        </is>
      </c>
      <c r="P65" t="inlineStr">
        <is>
          <t>hiu</t>
        </is>
      </c>
      <c r="R65" t="inlineStr">
        <is>
          <t xml:space="preserve">R  </t>
        </is>
      </c>
      <c r="S65" t="n">
        <v>3</v>
      </c>
      <c r="T65" t="n">
        <v>3</v>
      </c>
      <c r="U65" t="inlineStr">
        <is>
          <t>2003-04-23</t>
        </is>
      </c>
      <c r="V65" t="inlineStr">
        <is>
          <t>2003-04-23</t>
        </is>
      </c>
      <c r="W65" t="inlineStr">
        <is>
          <t>1993-03-08</t>
        </is>
      </c>
      <c r="X65" t="inlineStr">
        <is>
          <t>1993-03-08</t>
        </is>
      </c>
      <c r="Y65" t="n">
        <v>14</v>
      </c>
      <c r="Z65" t="n">
        <v>11</v>
      </c>
      <c r="AA65" t="n">
        <v>18</v>
      </c>
      <c r="AB65" t="n">
        <v>1</v>
      </c>
      <c r="AC65" t="n">
        <v>1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HYPERLINK("https://creighton-primo.hosted.exlibrisgroup.com/primo-explore/search?tab=default_tab&amp;search_scope=EVERYTHING&amp;vid=01CRU&amp;lang=en_US&amp;offset=0&amp;query=any,contains,991004807409702656","Catalog Record")</f>
        <v/>
      </c>
      <c r="AT65">
        <f>HYPERLINK("http://www.worldcat.org/oclc/5262713","WorldCat Record")</f>
        <v/>
      </c>
      <c r="AU65" t="inlineStr">
        <is>
          <t>32285001548055</t>
        </is>
      </c>
      <c r="AV65" t="inlineStr">
        <is>
          <t>893426829</t>
        </is>
      </c>
    </row>
    <row r="66">
      <c r="A66" t="inlineStr">
        <is>
          <t>No</t>
        </is>
      </c>
      <c r="B66" t="inlineStr">
        <is>
          <t>R476.R657 Z34 1997</t>
        </is>
      </c>
      <c r="C66" t="inlineStr">
        <is>
          <t>0                      R  0476000R  657                Z  34          1997</t>
        </is>
      </c>
      <c r="D66" t="inlineStr">
        <is>
          <t>Despreciada en la vida y olvidada en la muerte : biografía de Evangelina Rodríguez, la primera médica dominicana / Antonio Zaglul.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Zaglul, Antonio.</t>
        </is>
      </c>
      <c r="L66" t="inlineStr">
        <is>
          <t>Santo Domingo, República Dominicana : Taller, 1997.</t>
        </is>
      </c>
      <c r="M66" t="inlineStr">
        <is>
          <t>1997</t>
        </is>
      </c>
      <c r="N66" t="inlineStr">
        <is>
          <t>3. ed.</t>
        </is>
      </c>
      <c r="O66" t="inlineStr">
        <is>
          <t>spa</t>
        </is>
      </c>
      <c r="P66" t="inlineStr">
        <is>
          <t xml:space="preserve">dr </t>
        </is>
      </c>
      <c r="Q66" t="inlineStr">
        <is>
          <t>Biblioteca Taller ; 117</t>
        </is>
      </c>
      <c r="R66" t="inlineStr">
        <is>
          <t xml:space="preserve">R  </t>
        </is>
      </c>
      <c r="S66" t="n">
        <v>1</v>
      </c>
      <c r="T66" t="n">
        <v>1</v>
      </c>
      <c r="U66" t="inlineStr">
        <is>
          <t>2002-06-03</t>
        </is>
      </c>
      <c r="V66" t="inlineStr">
        <is>
          <t>2002-06-03</t>
        </is>
      </c>
      <c r="W66" t="inlineStr">
        <is>
          <t>2002-05-23</t>
        </is>
      </c>
      <c r="X66" t="inlineStr">
        <is>
          <t>2002-05-23</t>
        </is>
      </c>
      <c r="Y66" t="n">
        <v>6</v>
      </c>
      <c r="Z66" t="n">
        <v>6</v>
      </c>
      <c r="AA66" t="n">
        <v>35</v>
      </c>
      <c r="AB66" t="n">
        <v>1</v>
      </c>
      <c r="AC66" t="n">
        <v>1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1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HYPERLINK("https://creighton-primo.hosted.exlibrisgroup.com/primo-explore/search?tab=default_tab&amp;search_scope=EVERYTHING&amp;vid=01CRU&amp;lang=en_US&amp;offset=0&amp;query=any,contains,991003813349702656","Catalog Record")</f>
        <v/>
      </c>
      <c r="AT66">
        <f>HYPERLINK("http://www.worldcat.org/oclc/49702527","WorldCat Record")</f>
        <v/>
      </c>
      <c r="AU66" t="inlineStr">
        <is>
          <t>32285001548063</t>
        </is>
      </c>
      <c r="AV66" t="inlineStr">
        <is>
          <t>893606656</t>
        </is>
      </c>
    </row>
    <row r="67">
      <c r="A67" t="inlineStr">
        <is>
          <t>No</t>
        </is>
      </c>
      <c r="B67" t="inlineStr">
        <is>
          <t>R484 .D57 1988</t>
        </is>
      </c>
      <c r="C67" t="inlineStr">
        <is>
          <t>0                      R  0484000D  57          1988</t>
        </is>
      </c>
      <c r="D67" t="inlineStr">
        <is>
          <t>Disease, medicine, and empire : perspectives on Western medicine and the experience of European expansion / edited by Roy MacLeod and Milton Lewis.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London ; New York : Routledge, 1988.</t>
        </is>
      </c>
      <c r="M67" t="inlineStr">
        <is>
          <t>1988</t>
        </is>
      </c>
      <c r="O67" t="inlineStr">
        <is>
          <t>eng</t>
        </is>
      </c>
      <c r="P67" t="inlineStr">
        <is>
          <t>enk</t>
        </is>
      </c>
      <c r="R67" t="inlineStr">
        <is>
          <t xml:space="preserve">R  </t>
        </is>
      </c>
      <c r="S67" t="n">
        <v>4</v>
      </c>
      <c r="T67" t="n">
        <v>4</v>
      </c>
      <c r="U67" t="inlineStr">
        <is>
          <t>2009-04-07</t>
        </is>
      </c>
      <c r="V67" t="inlineStr">
        <is>
          <t>2009-04-07</t>
        </is>
      </c>
      <c r="W67" t="inlineStr">
        <is>
          <t>1992-12-16</t>
        </is>
      </c>
      <c r="X67" t="inlineStr">
        <is>
          <t>1992-12-16</t>
        </is>
      </c>
      <c r="Y67" t="n">
        <v>322</v>
      </c>
      <c r="Z67" t="n">
        <v>179</v>
      </c>
      <c r="AA67" t="n">
        <v>180</v>
      </c>
      <c r="AB67" t="n">
        <v>3</v>
      </c>
      <c r="AC67" t="n">
        <v>3</v>
      </c>
      <c r="AD67" t="n">
        <v>9</v>
      </c>
      <c r="AE67" t="n">
        <v>9</v>
      </c>
      <c r="AF67" t="n">
        <v>1</v>
      </c>
      <c r="AG67" t="n">
        <v>1</v>
      </c>
      <c r="AH67" t="n">
        <v>6</v>
      </c>
      <c r="AI67" t="n">
        <v>6</v>
      </c>
      <c r="AJ67" t="n">
        <v>2</v>
      </c>
      <c r="AK67" t="n">
        <v>2</v>
      </c>
      <c r="AL67" t="n">
        <v>2</v>
      </c>
      <c r="AM67" t="n">
        <v>2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HYPERLINK("https://creighton-primo.hosted.exlibrisgroup.com/primo-explore/search?tab=default_tab&amp;search_scope=EVERYTHING&amp;vid=01CRU&amp;lang=en_US&amp;offset=0&amp;query=any,contains,991001261599702656","Catalog Record")</f>
        <v/>
      </c>
      <c r="AT67">
        <f>HYPERLINK("http://www.worldcat.org/oclc/17768674","WorldCat Record")</f>
        <v/>
      </c>
      <c r="AU67" t="inlineStr">
        <is>
          <t>32285001548121</t>
        </is>
      </c>
      <c r="AV67" t="inlineStr">
        <is>
          <t>893339380</t>
        </is>
      </c>
    </row>
    <row r="68">
      <c r="A68" t="inlineStr">
        <is>
          <t>No</t>
        </is>
      </c>
      <c r="B68" t="inlineStr">
        <is>
          <t>R484 .M43 1985</t>
        </is>
      </c>
      <c r="C68" t="inlineStr">
        <is>
          <t>0                      R  0484000M  43          1985</t>
        </is>
      </c>
      <c r="D68" t="inlineStr">
        <is>
          <t>The Medical renaissance of the sixteenth century / edited by A. Wear, R.K. French, and I.M. Lonie.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Cambridge [Cambridgeshire] ; New York : Cambridge University Press, 1985.</t>
        </is>
      </c>
      <c r="M68" t="inlineStr">
        <is>
          <t>1985</t>
        </is>
      </c>
      <c r="O68" t="inlineStr">
        <is>
          <t>eng</t>
        </is>
      </c>
      <c r="P68" t="inlineStr">
        <is>
          <t>enk</t>
        </is>
      </c>
      <c r="R68" t="inlineStr">
        <is>
          <t xml:space="preserve">R  </t>
        </is>
      </c>
      <c r="S68" t="n">
        <v>15</v>
      </c>
      <c r="T68" t="n">
        <v>15</v>
      </c>
      <c r="U68" t="inlineStr">
        <is>
          <t>2007-02-23</t>
        </is>
      </c>
      <c r="V68" t="inlineStr">
        <is>
          <t>2007-02-23</t>
        </is>
      </c>
      <c r="W68" t="inlineStr">
        <is>
          <t>1993-03-08</t>
        </is>
      </c>
      <c r="X68" t="inlineStr">
        <is>
          <t>1993-03-08</t>
        </is>
      </c>
      <c r="Y68" t="n">
        <v>410</v>
      </c>
      <c r="Z68" t="n">
        <v>304</v>
      </c>
      <c r="AA68" t="n">
        <v>309</v>
      </c>
      <c r="AB68" t="n">
        <v>2</v>
      </c>
      <c r="AC68" t="n">
        <v>2</v>
      </c>
      <c r="AD68" t="n">
        <v>13</v>
      </c>
      <c r="AE68" t="n">
        <v>13</v>
      </c>
      <c r="AF68" t="n">
        <v>3</v>
      </c>
      <c r="AG68" t="n">
        <v>3</v>
      </c>
      <c r="AH68" t="n">
        <v>4</v>
      </c>
      <c r="AI68" t="n">
        <v>4</v>
      </c>
      <c r="AJ68" t="n">
        <v>8</v>
      </c>
      <c r="AK68" t="n">
        <v>8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HYPERLINK("https://creighton-primo.hosted.exlibrisgroup.com/primo-explore/search?tab=default_tab&amp;search_scope=EVERYTHING&amp;vid=01CRU&amp;lang=en_US&amp;offset=0&amp;query=any,contains,991000464329702656","Catalog Record")</f>
        <v/>
      </c>
      <c r="AT68">
        <f>HYPERLINK("http://www.worldcat.org/oclc/10949627","WorldCat Record")</f>
        <v/>
      </c>
      <c r="AU68" t="inlineStr">
        <is>
          <t>32285001548139</t>
        </is>
      </c>
      <c r="AV68" t="inlineStr">
        <is>
          <t>893320897</t>
        </is>
      </c>
    </row>
    <row r="69">
      <c r="A69" t="inlineStr">
        <is>
          <t>No</t>
        </is>
      </c>
      <c r="B69" t="inlineStr">
        <is>
          <t>R484 .W55 1985</t>
        </is>
      </c>
      <c r="C69" t="inlineStr">
        <is>
          <t>0                      R  0484000W  55          1985</t>
        </is>
      </c>
      <c r="D69" t="inlineStr">
        <is>
          <t>William Hunter and the eighteenth-century medical world / edited by W.F. Bynum and Roy Porter.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Cambridge ; New York : Cambridge University Press, 1985.</t>
        </is>
      </c>
      <c r="M69" t="inlineStr">
        <is>
          <t>1985</t>
        </is>
      </c>
      <c r="O69" t="inlineStr">
        <is>
          <t>eng</t>
        </is>
      </c>
      <c r="P69" t="inlineStr">
        <is>
          <t>enk</t>
        </is>
      </c>
      <c r="R69" t="inlineStr">
        <is>
          <t xml:space="preserve">R  </t>
        </is>
      </c>
      <c r="S69" t="n">
        <v>3</v>
      </c>
      <c r="T69" t="n">
        <v>3</v>
      </c>
      <c r="U69" t="inlineStr">
        <is>
          <t>2006-11-21</t>
        </is>
      </c>
      <c r="V69" t="inlineStr">
        <is>
          <t>2006-11-21</t>
        </is>
      </c>
      <c r="W69" t="inlineStr">
        <is>
          <t>1991-11-12</t>
        </is>
      </c>
      <c r="X69" t="inlineStr">
        <is>
          <t>1991-11-12</t>
        </is>
      </c>
      <c r="Y69" t="n">
        <v>305</v>
      </c>
      <c r="Z69" t="n">
        <v>200</v>
      </c>
      <c r="AA69" t="n">
        <v>207</v>
      </c>
      <c r="AB69" t="n">
        <v>2</v>
      </c>
      <c r="AC69" t="n">
        <v>2</v>
      </c>
      <c r="AD69" t="n">
        <v>6</v>
      </c>
      <c r="AE69" t="n">
        <v>6</v>
      </c>
      <c r="AF69" t="n">
        <v>0</v>
      </c>
      <c r="AG69" t="n">
        <v>0</v>
      </c>
      <c r="AH69" t="n">
        <v>3</v>
      </c>
      <c r="AI69" t="n">
        <v>3</v>
      </c>
      <c r="AJ69" t="n">
        <v>4</v>
      </c>
      <c r="AK69" t="n">
        <v>4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HYPERLINK("http://catalog.hathitrust.org/Record/000575312","HathiTrust Record")</f>
        <v/>
      </c>
      <c r="AS69">
        <f>HYPERLINK("https://creighton-primo.hosted.exlibrisgroup.com/primo-explore/search?tab=default_tab&amp;search_scope=EVERYTHING&amp;vid=01CRU&amp;lang=en_US&amp;offset=0&amp;query=any,contains,991000509999702656","Catalog Record")</f>
        <v/>
      </c>
      <c r="AT69">
        <f>HYPERLINK("http://www.worldcat.org/oclc/11234895","WorldCat Record")</f>
        <v/>
      </c>
      <c r="AU69" t="inlineStr">
        <is>
          <t>32285001548113</t>
        </is>
      </c>
      <c r="AV69" t="inlineStr">
        <is>
          <t>893320898</t>
        </is>
      </c>
    </row>
    <row r="70">
      <c r="A70" t="inlineStr">
        <is>
          <t>No</t>
        </is>
      </c>
      <c r="B70" t="inlineStr">
        <is>
          <t>R487 .C37</t>
        </is>
      </c>
      <c r="C70" t="inlineStr">
        <is>
          <t>0                      R  0487000C  37</t>
        </is>
      </c>
      <c r="D70" t="inlineStr">
        <is>
          <t>A social history of medicine / Frederick F. Cartwright.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Cartwright, Frederick F. (Frederick Fox), 1909-2001.</t>
        </is>
      </c>
      <c r="L70" t="inlineStr">
        <is>
          <t>London ; New York : Longman, 1977.</t>
        </is>
      </c>
      <c r="M70" t="inlineStr">
        <is>
          <t>1977</t>
        </is>
      </c>
      <c r="O70" t="inlineStr">
        <is>
          <t>eng</t>
        </is>
      </c>
      <c r="P70" t="inlineStr">
        <is>
          <t>enk</t>
        </is>
      </c>
      <c r="Q70" t="inlineStr">
        <is>
          <t>Themes in British social history</t>
        </is>
      </c>
      <c r="R70" t="inlineStr">
        <is>
          <t xml:space="preserve">R  </t>
        </is>
      </c>
      <c r="S70" t="n">
        <v>3</v>
      </c>
      <c r="T70" t="n">
        <v>3</v>
      </c>
      <c r="U70" t="inlineStr">
        <is>
          <t>1996-11-12</t>
        </is>
      </c>
      <c r="V70" t="inlineStr">
        <is>
          <t>1996-11-12</t>
        </is>
      </c>
      <c r="W70" t="inlineStr">
        <is>
          <t>1993-03-08</t>
        </is>
      </c>
      <c r="X70" t="inlineStr">
        <is>
          <t>1993-03-08</t>
        </is>
      </c>
      <c r="Y70" t="n">
        <v>463</v>
      </c>
      <c r="Z70" t="n">
        <v>239</v>
      </c>
      <c r="AA70" t="n">
        <v>241</v>
      </c>
      <c r="AB70" t="n">
        <v>2</v>
      </c>
      <c r="AC70" t="n">
        <v>2</v>
      </c>
      <c r="AD70" t="n">
        <v>7</v>
      </c>
      <c r="AE70" t="n">
        <v>7</v>
      </c>
      <c r="AF70" t="n">
        <v>3</v>
      </c>
      <c r="AG70" t="n">
        <v>3</v>
      </c>
      <c r="AH70" t="n">
        <v>3</v>
      </c>
      <c r="AI70" t="n">
        <v>3</v>
      </c>
      <c r="AJ70" t="n">
        <v>3</v>
      </c>
      <c r="AK70" t="n">
        <v>3</v>
      </c>
      <c r="AL70" t="n">
        <v>1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HYPERLINK("http://catalog.hathitrust.org/Record/000745804","HathiTrust Record")</f>
        <v/>
      </c>
      <c r="AS70">
        <f>HYPERLINK("https://creighton-primo.hosted.exlibrisgroup.com/primo-explore/search?tab=default_tab&amp;search_scope=EVERYTHING&amp;vid=01CRU&amp;lang=en_US&amp;offset=0&amp;query=any,contains,991004129929702656","Catalog Record")</f>
        <v/>
      </c>
      <c r="AT70">
        <f>HYPERLINK("http://www.worldcat.org/oclc/2464630","WorldCat Record")</f>
        <v/>
      </c>
      <c r="AU70" t="inlineStr">
        <is>
          <t>32285003011540</t>
        </is>
      </c>
      <c r="AV70" t="inlineStr">
        <is>
          <t>893420585</t>
        </is>
      </c>
    </row>
    <row r="71">
      <c r="A71" t="inlineStr">
        <is>
          <t>No</t>
        </is>
      </c>
      <c r="B71" t="inlineStr">
        <is>
          <t>R487 .H4 1977</t>
        </is>
      </c>
      <c r="C71" t="inlineStr">
        <is>
          <t>0                      R  0487000H  4           1977</t>
        </is>
      </c>
      <c r="D71" t="inlineStr">
        <is>
          <t>Health care and popular medicine in nineteenth century England : essays in the social history of medicine / edited by John Woodward and David Richards.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New York : Holmes &amp; Meier Publishers, c1977.</t>
        </is>
      </c>
      <c r="M71" t="inlineStr">
        <is>
          <t>1977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R  </t>
        </is>
      </c>
      <c r="S71" t="n">
        <v>2</v>
      </c>
      <c r="T71" t="n">
        <v>2</v>
      </c>
      <c r="U71" t="inlineStr">
        <is>
          <t>2005-10-10</t>
        </is>
      </c>
      <c r="V71" t="inlineStr">
        <is>
          <t>2005-10-10</t>
        </is>
      </c>
      <c r="W71" t="inlineStr">
        <is>
          <t>1997-08-07</t>
        </is>
      </c>
      <c r="X71" t="inlineStr">
        <is>
          <t>1997-08-07</t>
        </is>
      </c>
      <c r="Y71" t="n">
        <v>249</v>
      </c>
      <c r="Z71" t="n">
        <v>213</v>
      </c>
      <c r="AA71" t="n">
        <v>250</v>
      </c>
      <c r="AB71" t="n">
        <v>2</v>
      </c>
      <c r="AC71" t="n">
        <v>2</v>
      </c>
      <c r="AD71" t="n">
        <v>7</v>
      </c>
      <c r="AE71" t="n">
        <v>8</v>
      </c>
      <c r="AF71" t="n">
        <v>0</v>
      </c>
      <c r="AG71" t="n">
        <v>1</v>
      </c>
      <c r="AH71" t="n">
        <v>3</v>
      </c>
      <c r="AI71" t="n">
        <v>3</v>
      </c>
      <c r="AJ71" t="n">
        <v>4</v>
      </c>
      <c r="AK71" t="n">
        <v>4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HYPERLINK("http://catalog.hathitrust.org/Record/000725994","HathiTrust Record")</f>
        <v/>
      </c>
      <c r="AS71">
        <f>HYPERLINK("https://creighton-primo.hosted.exlibrisgroup.com/primo-explore/search?tab=default_tab&amp;search_scope=EVERYTHING&amp;vid=01CRU&amp;lang=en_US&amp;offset=0&amp;query=any,contains,991004103459702656","Catalog Record")</f>
        <v/>
      </c>
      <c r="AT71">
        <f>HYPERLINK("http://www.worldcat.org/oclc/2373412","WorldCat Record")</f>
        <v/>
      </c>
      <c r="AU71" t="inlineStr">
        <is>
          <t>32285000591320</t>
        </is>
      </c>
      <c r="AV71" t="inlineStr">
        <is>
          <t>893232004</t>
        </is>
      </c>
    </row>
    <row r="72">
      <c r="A72" t="inlineStr">
        <is>
          <t>No</t>
        </is>
      </c>
      <c r="B72" t="inlineStr">
        <is>
          <t>R487 .Y68 1979</t>
        </is>
      </c>
      <c r="C72" t="inlineStr">
        <is>
          <t>0                      R  0487000Y  68          1979</t>
        </is>
      </c>
      <c r="D72" t="inlineStr">
        <is>
          <t>The scientific revolution in Victorian medicine / A. J. Youngson.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Youngson, A. J.</t>
        </is>
      </c>
      <c r="L72" t="inlineStr">
        <is>
          <t>New York : Holmes &amp; Meier Publishers, 1979.</t>
        </is>
      </c>
      <c r="M72" t="inlineStr">
        <is>
          <t>1979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R  </t>
        </is>
      </c>
      <c r="S72" t="n">
        <v>11</v>
      </c>
      <c r="T72" t="n">
        <v>11</v>
      </c>
      <c r="U72" t="inlineStr">
        <is>
          <t>2008-11-07</t>
        </is>
      </c>
      <c r="V72" t="inlineStr">
        <is>
          <t>2008-11-07</t>
        </is>
      </c>
      <c r="W72" t="inlineStr">
        <is>
          <t>1992-02-06</t>
        </is>
      </c>
      <c r="X72" t="inlineStr">
        <is>
          <t>1992-02-06</t>
        </is>
      </c>
      <c r="Y72" t="n">
        <v>262</v>
      </c>
      <c r="Z72" t="n">
        <v>228</v>
      </c>
      <c r="AA72" t="n">
        <v>270</v>
      </c>
      <c r="AB72" t="n">
        <v>2</v>
      </c>
      <c r="AC72" t="n">
        <v>2</v>
      </c>
      <c r="AD72" t="n">
        <v>8</v>
      </c>
      <c r="AE72" t="n">
        <v>8</v>
      </c>
      <c r="AF72" t="n">
        <v>2</v>
      </c>
      <c r="AG72" t="n">
        <v>2</v>
      </c>
      <c r="AH72" t="n">
        <v>2</v>
      </c>
      <c r="AI72" t="n">
        <v>2</v>
      </c>
      <c r="AJ72" t="n">
        <v>3</v>
      </c>
      <c r="AK72" t="n">
        <v>3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HYPERLINK("http://catalog.hathitrust.org/Record/000027844","HathiTrust Record")</f>
        <v/>
      </c>
      <c r="AS72">
        <f>HYPERLINK("https://creighton-primo.hosted.exlibrisgroup.com/primo-explore/search?tab=default_tab&amp;search_scope=EVERYTHING&amp;vid=01CRU&amp;lang=en_US&amp;offset=0&amp;query=any,contains,991004688699702656","Catalog Record")</f>
        <v/>
      </c>
      <c r="AT72">
        <f>HYPERLINK("http://www.worldcat.org/oclc/4593727","WorldCat Record")</f>
        <v/>
      </c>
      <c r="AU72" t="inlineStr">
        <is>
          <t>32285001088813</t>
        </is>
      </c>
      <c r="AV72" t="inlineStr">
        <is>
          <t>893876656</t>
        </is>
      </c>
    </row>
    <row r="73">
      <c r="A73" t="inlineStr">
        <is>
          <t>No</t>
        </is>
      </c>
      <c r="B73" t="inlineStr">
        <is>
          <t>R488.L6 P4</t>
        </is>
      </c>
      <c r="C73" t="inlineStr">
        <is>
          <t>0                      R  0488000L  6                  P  4</t>
        </is>
      </c>
      <c r="D73" t="inlineStr">
        <is>
          <t>The medical profession in mid-Victorian London / M. Jeanne Peterson. --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Peterson, M. Jeanne (Mildred Jeanne), 1937-</t>
        </is>
      </c>
      <c r="L73" t="inlineStr">
        <is>
          <t>Berkeley : University of California Press, c1978.</t>
        </is>
      </c>
      <c r="M73" t="inlineStr">
        <is>
          <t>1978</t>
        </is>
      </c>
      <c r="O73" t="inlineStr">
        <is>
          <t>eng</t>
        </is>
      </c>
      <c r="P73" t="inlineStr">
        <is>
          <t>cau</t>
        </is>
      </c>
      <c r="R73" t="inlineStr">
        <is>
          <t xml:space="preserve">R  </t>
        </is>
      </c>
      <c r="S73" t="n">
        <v>1</v>
      </c>
      <c r="T73" t="n">
        <v>1</v>
      </c>
      <c r="U73" t="inlineStr">
        <is>
          <t>2008-09-29</t>
        </is>
      </c>
      <c r="V73" t="inlineStr">
        <is>
          <t>2008-09-29</t>
        </is>
      </c>
      <c r="W73" t="inlineStr">
        <is>
          <t>1993-03-08</t>
        </is>
      </c>
      <c r="X73" t="inlineStr">
        <is>
          <t>1993-03-08</t>
        </is>
      </c>
      <c r="Y73" t="n">
        <v>520</v>
      </c>
      <c r="Z73" t="n">
        <v>388</v>
      </c>
      <c r="AA73" t="n">
        <v>395</v>
      </c>
      <c r="AB73" t="n">
        <v>2</v>
      </c>
      <c r="AC73" t="n">
        <v>2</v>
      </c>
      <c r="AD73" t="n">
        <v>19</v>
      </c>
      <c r="AE73" t="n">
        <v>19</v>
      </c>
      <c r="AF73" t="n">
        <v>6</v>
      </c>
      <c r="AG73" t="n">
        <v>6</v>
      </c>
      <c r="AH73" t="n">
        <v>4</v>
      </c>
      <c r="AI73" t="n">
        <v>4</v>
      </c>
      <c r="AJ73" t="n">
        <v>11</v>
      </c>
      <c r="AK73" t="n">
        <v>11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HYPERLINK("http://catalog.hathitrust.org/Record/000215006","HathiTrust Record")</f>
        <v/>
      </c>
      <c r="AS73">
        <f>HYPERLINK("https://creighton-primo.hosted.exlibrisgroup.com/primo-explore/search?tab=default_tab&amp;search_scope=EVERYTHING&amp;vid=01CRU&amp;lang=en_US&amp;offset=0&amp;query=any,contains,991004597809702656","Catalog Record")</f>
        <v/>
      </c>
      <c r="AT73">
        <f>HYPERLINK("http://www.worldcat.org/oclc/4154671","WorldCat Record")</f>
        <v/>
      </c>
    </row>
    <row r="74">
      <c r="A74" t="inlineStr">
        <is>
          <t>No</t>
        </is>
      </c>
      <c r="B74" t="inlineStr">
        <is>
          <t>R489.B73 A83 1986</t>
        </is>
      </c>
      <c r="C74" t="inlineStr">
        <is>
          <t>0                      R  0489000B  73                 A  83          1986</t>
        </is>
      </c>
      <c r="D74" t="inlineStr">
        <is>
          <t>The Bramwells of Edinburgh : a medical dynasty / Bryan Ashworth.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Ashworth, Bryan.</t>
        </is>
      </c>
      <c r="L74" t="inlineStr">
        <is>
          <t>Edinburgh : Royal College of Physicians of Edinburgh, 1986.</t>
        </is>
      </c>
      <c r="M74" t="inlineStr">
        <is>
          <t>1986</t>
        </is>
      </c>
      <c r="O74" t="inlineStr">
        <is>
          <t>eng</t>
        </is>
      </c>
      <c r="P74" t="inlineStr">
        <is>
          <t>stk</t>
        </is>
      </c>
      <c r="Q74" t="inlineStr">
        <is>
          <t>Publication (Royal College of Physicians of Edinburgh) ; no. 60</t>
        </is>
      </c>
      <c r="R74" t="inlineStr">
        <is>
          <t xml:space="preserve">R  </t>
        </is>
      </c>
      <c r="S74" t="n">
        <v>1</v>
      </c>
      <c r="T74" t="n">
        <v>1</v>
      </c>
      <c r="U74" t="inlineStr">
        <is>
          <t>2009-02-06</t>
        </is>
      </c>
      <c r="V74" t="inlineStr">
        <is>
          <t>2009-02-06</t>
        </is>
      </c>
      <c r="W74" t="inlineStr">
        <is>
          <t>1993-03-08</t>
        </is>
      </c>
      <c r="X74" t="inlineStr">
        <is>
          <t>1993-03-08</t>
        </is>
      </c>
      <c r="Y74" t="n">
        <v>54</v>
      </c>
      <c r="Z74" t="n">
        <v>26</v>
      </c>
      <c r="AA74" t="n">
        <v>26</v>
      </c>
      <c r="AB74" t="n">
        <v>1</v>
      </c>
      <c r="AC74" t="n">
        <v>1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HYPERLINK("https://creighton-primo.hosted.exlibrisgroup.com/primo-explore/search?tab=default_tab&amp;search_scope=EVERYTHING&amp;vid=01CRU&amp;lang=en_US&amp;offset=0&amp;query=any,contains,991000873549702656","Catalog Record")</f>
        <v/>
      </c>
      <c r="AT74">
        <f>HYPERLINK("http://www.worldcat.org/oclc/17510015","WorldCat Record")</f>
        <v/>
      </c>
    </row>
    <row r="75">
      <c r="A75" t="inlineStr">
        <is>
          <t>No</t>
        </is>
      </c>
      <c r="B75" t="inlineStr">
        <is>
          <t>R489.R34 R45 1989</t>
        </is>
      </c>
      <c r="C75" t="inlineStr">
        <is>
          <t>0                      R  0489000R  34                 R  45          1989</t>
        </is>
      </c>
      <c r="D75" t="inlineStr">
        <is>
          <t>Ask Sir James : Sir James Reid, personal physician to Queen Victoria and physician-in-ordinary to three monarchs / Michaela Reid.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Reid, Michaela.</t>
        </is>
      </c>
      <c r="L75" t="inlineStr">
        <is>
          <t>New York, N.Y., U.S.A. : Viking, 1989, c1987.</t>
        </is>
      </c>
      <c r="M75" t="inlineStr">
        <is>
          <t>1989</t>
        </is>
      </c>
      <c r="N75" t="inlineStr">
        <is>
          <t>1st American ed.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R  </t>
        </is>
      </c>
      <c r="S75" t="n">
        <v>3</v>
      </c>
      <c r="T75" t="n">
        <v>3</v>
      </c>
      <c r="U75" t="inlineStr">
        <is>
          <t>1993-04-18</t>
        </is>
      </c>
      <c r="V75" t="inlineStr">
        <is>
          <t>1993-04-18</t>
        </is>
      </c>
      <c r="W75" t="inlineStr">
        <is>
          <t>1993-03-08</t>
        </is>
      </c>
      <c r="X75" t="inlineStr">
        <is>
          <t>1993-03-08</t>
        </is>
      </c>
      <c r="Y75" t="n">
        <v>310</v>
      </c>
      <c r="Z75" t="n">
        <v>301</v>
      </c>
      <c r="AA75" t="n">
        <v>361</v>
      </c>
      <c r="AB75" t="n">
        <v>2</v>
      </c>
      <c r="AC75" t="n">
        <v>2</v>
      </c>
      <c r="AD75" t="n">
        <v>6</v>
      </c>
      <c r="AE75" t="n">
        <v>7</v>
      </c>
      <c r="AF75" t="n">
        <v>2</v>
      </c>
      <c r="AG75" t="n">
        <v>2</v>
      </c>
      <c r="AH75" t="n">
        <v>3</v>
      </c>
      <c r="AI75" t="n">
        <v>3</v>
      </c>
      <c r="AJ75" t="n">
        <v>3</v>
      </c>
      <c r="AK75" t="n">
        <v>4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HYPERLINK("http://catalog.hathitrust.org/Record/001290498","HathiTrust Record")</f>
        <v/>
      </c>
      <c r="AS75">
        <f>HYPERLINK("https://creighton-primo.hosted.exlibrisgroup.com/primo-explore/search?tab=default_tab&amp;search_scope=EVERYTHING&amp;vid=01CRU&amp;lang=en_US&amp;offset=0&amp;query=any,contains,991001323139702656","Catalog Record")</f>
        <v/>
      </c>
      <c r="AT75">
        <f>HYPERLINK("http://www.worldcat.org/oclc/18256160","WorldCat Record")</f>
        <v/>
      </c>
    </row>
    <row r="76">
      <c r="A76" t="inlineStr">
        <is>
          <t>No</t>
        </is>
      </c>
      <c r="B76" t="inlineStr">
        <is>
          <t>R505 .E44 1990</t>
        </is>
      </c>
      <c r="C76" t="inlineStr">
        <is>
          <t>0                      R  0505000E  44          1990</t>
        </is>
      </c>
      <c r="D76" t="inlineStr">
        <is>
          <t>The physician-legislators of France : medicine and politics in the early Third Republic, 1870-1914 / Jack D. Ellis.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Ellis, Jack D.</t>
        </is>
      </c>
      <c r="L76" t="inlineStr">
        <is>
          <t>Cambridge ; New York : Cambridge University Press, 1990.</t>
        </is>
      </c>
      <c r="M76" t="inlineStr">
        <is>
          <t>1990</t>
        </is>
      </c>
      <c r="O76" t="inlineStr">
        <is>
          <t>eng</t>
        </is>
      </c>
      <c r="P76" t="inlineStr">
        <is>
          <t>enk</t>
        </is>
      </c>
      <c r="Q76" t="inlineStr">
        <is>
          <t>Cambridge history of medicine</t>
        </is>
      </c>
      <c r="R76" t="inlineStr">
        <is>
          <t xml:space="preserve">R  </t>
        </is>
      </c>
      <c r="S76" t="n">
        <v>1</v>
      </c>
      <c r="T76" t="n">
        <v>1</v>
      </c>
      <c r="U76" t="inlineStr">
        <is>
          <t>1997-03-31</t>
        </is>
      </c>
      <c r="V76" t="inlineStr">
        <is>
          <t>1997-03-31</t>
        </is>
      </c>
      <c r="W76" t="inlineStr">
        <is>
          <t>1991-10-16</t>
        </is>
      </c>
      <c r="X76" t="inlineStr">
        <is>
          <t>1991-10-16</t>
        </is>
      </c>
      <c r="Y76" t="n">
        <v>287</v>
      </c>
      <c r="Z76" t="n">
        <v>203</v>
      </c>
      <c r="AA76" t="n">
        <v>203</v>
      </c>
      <c r="AB76" t="n">
        <v>1</v>
      </c>
      <c r="AC76" t="n">
        <v>1</v>
      </c>
      <c r="AD76" t="n">
        <v>7</v>
      </c>
      <c r="AE76" t="n">
        <v>7</v>
      </c>
      <c r="AF76" t="n">
        <v>2</v>
      </c>
      <c r="AG76" t="n">
        <v>2</v>
      </c>
      <c r="AH76" t="n">
        <v>3</v>
      </c>
      <c r="AI76" t="n">
        <v>3</v>
      </c>
      <c r="AJ76" t="n">
        <v>4</v>
      </c>
      <c r="AK76" t="n">
        <v>4</v>
      </c>
      <c r="AL76" t="n">
        <v>0</v>
      </c>
      <c r="AM76" t="n">
        <v>0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HYPERLINK("https://creighton-primo.hosted.exlibrisgroup.com/primo-explore/search?tab=default_tab&amp;search_scope=EVERYTHING&amp;vid=01CRU&amp;lang=en_US&amp;offset=0&amp;query=any,contains,991001597679702656","Catalog Record")</f>
        <v/>
      </c>
      <c r="AT76">
        <f>HYPERLINK("http://www.worldcat.org/oclc/20631120","WorldCat Record")</f>
        <v/>
      </c>
    </row>
    <row r="77">
      <c r="A77" t="inlineStr">
        <is>
          <t>No</t>
        </is>
      </c>
      <c r="B77" t="inlineStr">
        <is>
          <t>R507.C34 D8</t>
        </is>
      </c>
      <c r="C77" t="inlineStr">
        <is>
          <t>0                      R  0507000C  34                 D  8</t>
        </is>
      </c>
      <c r="D77" t="inlineStr">
        <is>
          <t>Hope for our time: Alexis Carrel on man and society, by Joseph T. Durkin.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Durkin, Joseph T. (Joseph Thomas), 1903-2003.</t>
        </is>
      </c>
      <c r="L77" t="inlineStr">
        <is>
          <t>New York, Harper &amp; Row [1965]</t>
        </is>
      </c>
      <c r="M77" t="inlineStr">
        <is>
          <t>1965</t>
        </is>
      </c>
      <c r="N77" t="inlineStr">
        <is>
          <t>[1st ed.].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R  </t>
        </is>
      </c>
      <c r="S77" t="n">
        <v>1</v>
      </c>
      <c r="T77" t="n">
        <v>1</v>
      </c>
      <c r="U77" t="inlineStr">
        <is>
          <t>1998-11-15</t>
        </is>
      </c>
      <c r="V77" t="inlineStr">
        <is>
          <t>1998-11-15</t>
        </is>
      </c>
      <c r="W77" t="inlineStr">
        <is>
          <t>1997-08-07</t>
        </is>
      </c>
      <c r="X77" t="inlineStr">
        <is>
          <t>1997-08-07</t>
        </is>
      </c>
      <c r="Y77" t="n">
        <v>357</v>
      </c>
      <c r="Z77" t="n">
        <v>330</v>
      </c>
      <c r="AA77" t="n">
        <v>335</v>
      </c>
      <c r="AB77" t="n">
        <v>2</v>
      </c>
      <c r="AC77" t="n">
        <v>2</v>
      </c>
      <c r="AD77" t="n">
        <v>16</v>
      </c>
      <c r="AE77" t="n">
        <v>16</v>
      </c>
      <c r="AF77" t="n">
        <v>6</v>
      </c>
      <c r="AG77" t="n">
        <v>6</v>
      </c>
      <c r="AH77" t="n">
        <v>3</v>
      </c>
      <c r="AI77" t="n">
        <v>3</v>
      </c>
      <c r="AJ77" t="n">
        <v>14</v>
      </c>
      <c r="AK77" t="n">
        <v>14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HYPERLINK("https://creighton-primo.hosted.exlibrisgroup.com/primo-explore/search?tab=default_tab&amp;search_scope=EVERYTHING&amp;vid=01CRU&amp;lang=en_US&amp;offset=0&amp;query=any,contains,991003667789702656","Catalog Record")</f>
        <v/>
      </c>
      <c r="AT77">
        <f>HYPERLINK("http://www.worldcat.org/oclc/1282998","WorldCat Record")</f>
        <v/>
      </c>
    </row>
    <row r="78">
      <c r="A78" t="inlineStr">
        <is>
          <t>No</t>
        </is>
      </c>
      <c r="B78" t="inlineStr">
        <is>
          <t>R507.M39 T74 2006</t>
        </is>
      </c>
      <c r="C78" t="inlineStr">
        <is>
          <t>0                      R  0507000M  39                 T  74          2006</t>
        </is>
      </c>
      <c r="D78" t="inlineStr">
        <is>
          <t>Europe's physician : the various life of Sir Theodore de Mayerne / Hugh Trevor-Roper.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Trevor-Roper, H. R. (Hugh Redwald), 1914-2003.</t>
        </is>
      </c>
      <c r="L78" t="inlineStr">
        <is>
          <t>New Haven [Conn.] ; London : Yale University Press, c2006.</t>
        </is>
      </c>
      <c r="M78" t="inlineStr">
        <is>
          <t>2006</t>
        </is>
      </c>
      <c r="O78" t="inlineStr">
        <is>
          <t>eng</t>
        </is>
      </c>
      <c r="P78" t="inlineStr">
        <is>
          <t>ctu</t>
        </is>
      </c>
      <c r="R78" t="inlineStr">
        <is>
          <t xml:space="preserve">R  </t>
        </is>
      </c>
      <c r="S78" t="n">
        <v>1</v>
      </c>
      <c r="T78" t="n">
        <v>1</v>
      </c>
      <c r="U78" t="inlineStr">
        <is>
          <t>2010-03-05</t>
        </is>
      </c>
      <c r="V78" t="inlineStr">
        <is>
          <t>2010-03-05</t>
        </is>
      </c>
      <c r="W78" t="inlineStr">
        <is>
          <t>2006-11-20</t>
        </is>
      </c>
      <c r="X78" t="inlineStr">
        <is>
          <t>2006-11-20</t>
        </is>
      </c>
      <c r="Y78" t="n">
        <v>294</v>
      </c>
      <c r="Z78" t="n">
        <v>222</v>
      </c>
      <c r="AA78" t="n">
        <v>228</v>
      </c>
      <c r="AB78" t="n">
        <v>2</v>
      </c>
      <c r="AC78" t="n">
        <v>2</v>
      </c>
      <c r="AD78" t="n">
        <v>10</v>
      </c>
      <c r="AE78" t="n">
        <v>10</v>
      </c>
      <c r="AF78" t="n">
        <v>3</v>
      </c>
      <c r="AG78" t="n">
        <v>3</v>
      </c>
      <c r="AH78" t="n">
        <v>5</v>
      </c>
      <c r="AI78" t="n">
        <v>5</v>
      </c>
      <c r="AJ78" t="n">
        <v>5</v>
      </c>
      <c r="AK78" t="n">
        <v>5</v>
      </c>
      <c r="AL78" t="n">
        <v>1</v>
      </c>
      <c r="AM78" t="n">
        <v>1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HYPERLINK("https://creighton-primo.hosted.exlibrisgroup.com/primo-explore/search?tab=default_tab&amp;search_scope=EVERYTHING&amp;vid=01CRU&amp;lang=en_US&amp;offset=0&amp;query=any,contains,991004923639702656","Catalog Record")</f>
        <v/>
      </c>
      <c r="AT78">
        <f>HYPERLINK("http://www.worldcat.org/oclc/65425866","WorldCat Record")</f>
        <v/>
      </c>
    </row>
    <row r="79">
      <c r="A79" t="inlineStr">
        <is>
          <t>No</t>
        </is>
      </c>
      <c r="B79" t="inlineStr">
        <is>
          <t>R511.B33 T8 1993</t>
        </is>
      </c>
      <c r="C79" t="inlineStr">
        <is>
          <t>0                      R  0511000B  33                 T  8           1993</t>
        </is>
      </c>
      <c r="D79" t="inlineStr">
        <is>
          <t>Science, medicine, and the state in Germany : the case of Baden, 1815-1871 / Arleen Marcia Tuchman.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Tuchman, Arleen, 1956-</t>
        </is>
      </c>
      <c r="L79" t="inlineStr">
        <is>
          <t>New York : Oxford University Press, 1993.</t>
        </is>
      </c>
      <c r="M79" t="inlineStr">
        <is>
          <t>1993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R  </t>
        </is>
      </c>
      <c r="S79" t="n">
        <v>1</v>
      </c>
      <c r="T79" t="n">
        <v>1</v>
      </c>
      <c r="U79" t="inlineStr">
        <is>
          <t>2004-02-23</t>
        </is>
      </c>
      <c r="V79" t="inlineStr">
        <is>
          <t>2004-02-23</t>
        </is>
      </c>
      <c r="W79" t="inlineStr">
        <is>
          <t>2004-02-23</t>
        </is>
      </c>
      <c r="X79" t="inlineStr">
        <is>
          <t>2004-02-23</t>
        </is>
      </c>
      <c r="Y79" t="n">
        <v>235</v>
      </c>
      <c r="Z79" t="n">
        <v>169</v>
      </c>
      <c r="AA79" t="n">
        <v>171</v>
      </c>
      <c r="AB79" t="n">
        <v>1</v>
      </c>
      <c r="AC79" t="n">
        <v>1</v>
      </c>
      <c r="AD79" t="n">
        <v>5</v>
      </c>
      <c r="AE79" t="n">
        <v>5</v>
      </c>
      <c r="AF79" t="n">
        <v>0</v>
      </c>
      <c r="AG79" t="n">
        <v>0</v>
      </c>
      <c r="AH79" t="n">
        <v>4</v>
      </c>
      <c r="AI79" t="n">
        <v>4</v>
      </c>
      <c r="AJ79" t="n">
        <v>3</v>
      </c>
      <c r="AK79" t="n">
        <v>3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HYPERLINK("http://catalog.hathitrust.org/Record/002716187","HathiTrust Record")</f>
        <v/>
      </c>
      <c r="AS79">
        <f>HYPERLINK("https://creighton-primo.hosted.exlibrisgroup.com/primo-explore/search?tab=default_tab&amp;search_scope=EVERYTHING&amp;vid=01CRU&amp;lang=en_US&amp;offset=0&amp;query=any,contains,991004232979702656","Catalog Record")</f>
        <v/>
      </c>
      <c r="AT79">
        <f>HYPERLINK("http://www.worldcat.org/oclc/26361760","WorldCat Record")</f>
        <v/>
      </c>
    </row>
    <row r="80">
      <c r="A80" t="inlineStr">
        <is>
          <t>No</t>
        </is>
      </c>
      <c r="B80" t="inlineStr">
        <is>
          <t>R556 .G384 1984</t>
        </is>
      </c>
      <c r="C80" t="inlineStr">
        <is>
          <t>0                      R  0556000G  384         1984</t>
        </is>
      </c>
      <c r="D80" t="inlineStr">
        <is>
          <t>Los moriscos y la medicina : un capítulo de la medicina y la ciencia marginadas en la España del siglo XVI / Luis García Ballester ; documentos por Rosa Blasco y Luis García Ballester.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García Ballester, Luis.</t>
        </is>
      </c>
      <c r="L80" t="inlineStr">
        <is>
          <t>Barcelona : Labor, 1984.</t>
        </is>
      </c>
      <c r="M80" t="inlineStr">
        <is>
          <t>1984</t>
        </is>
      </c>
      <c r="N80" t="inlineStr">
        <is>
          <t>1a ed.</t>
        </is>
      </c>
      <c r="O80" t="inlineStr">
        <is>
          <t>spa</t>
        </is>
      </c>
      <c r="P80" t="inlineStr">
        <is>
          <t xml:space="preserve">sp </t>
        </is>
      </c>
      <c r="Q80" t="inlineStr">
        <is>
          <t>Labor universitaria. Monografías</t>
        </is>
      </c>
      <c r="R80" t="inlineStr">
        <is>
          <t xml:space="preserve">R  </t>
        </is>
      </c>
      <c r="S80" t="n">
        <v>2</v>
      </c>
      <c r="T80" t="n">
        <v>2</v>
      </c>
      <c r="U80" t="inlineStr">
        <is>
          <t>2010-04-20</t>
        </is>
      </c>
      <c r="V80" t="inlineStr">
        <is>
          <t>2010-04-20</t>
        </is>
      </c>
      <c r="W80" t="inlineStr">
        <is>
          <t>1993-03-08</t>
        </is>
      </c>
      <c r="X80" t="inlineStr">
        <is>
          <t>1993-03-08</t>
        </is>
      </c>
      <c r="Y80" t="n">
        <v>74</v>
      </c>
      <c r="Z80" t="n">
        <v>51</v>
      </c>
      <c r="AA80" t="n">
        <v>53</v>
      </c>
      <c r="AB80" t="n">
        <v>1</v>
      </c>
      <c r="AC80" t="n">
        <v>1</v>
      </c>
      <c r="AD80" t="n">
        <v>1</v>
      </c>
      <c r="AE80" t="n">
        <v>1</v>
      </c>
      <c r="AF80" t="n">
        <v>0</v>
      </c>
      <c r="AG80" t="n">
        <v>0</v>
      </c>
      <c r="AH80" t="n">
        <v>1</v>
      </c>
      <c r="AI80" t="n">
        <v>1</v>
      </c>
      <c r="AJ80" t="n">
        <v>1</v>
      </c>
      <c r="AK80" t="n">
        <v>1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HYPERLINK("http://catalog.hathitrust.org/Record/000419900","HathiTrust Record")</f>
        <v/>
      </c>
      <c r="AS80">
        <f>HYPERLINK("https://creighton-primo.hosted.exlibrisgroup.com/primo-explore/search?tab=default_tab&amp;search_scope=EVERYTHING&amp;vid=01CRU&amp;lang=en_US&amp;offset=0&amp;query=any,contains,991000795729702656","Catalog Record")</f>
        <v/>
      </c>
      <c r="AT80">
        <f>HYPERLINK("http://www.worldcat.org/oclc/13185971","WorldCat Record")</f>
        <v/>
      </c>
    </row>
    <row r="81">
      <c r="A81" t="inlineStr">
        <is>
          <t>No</t>
        </is>
      </c>
      <c r="B81" t="inlineStr">
        <is>
          <t>R581 .A85</t>
        </is>
      </c>
      <c r="C81" t="inlineStr">
        <is>
          <t>0                      R  0581000A  85</t>
        </is>
      </c>
      <c r="D81" t="inlineStr">
        <is>
          <t>Asian medical systems : a comparative study / edited by Charles Leslie.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Berkeley : University of California Press, c1976.</t>
        </is>
      </c>
      <c r="M81" t="inlineStr">
        <is>
          <t>1976</t>
        </is>
      </c>
      <c r="O81" t="inlineStr">
        <is>
          <t>eng</t>
        </is>
      </c>
      <c r="P81" t="inlineStr">
        <is>
          <t>cau</t>
        </is>
      </c>
      <c r="R81" t="inlineStr">
        <is>
          <t xml:space="preserve">R  </t>
        </is>
      </c>
      <c r="S81" t="n">
        <v>20</v>
      </c>
      <c r="T81" t="n">
        <v>20</v>
      </c>
      <c r="U81" t="inlineStr">
        <is>
          <t>2007-04-16</t>
        </is>
      </c>
      <c r="V81" t="inlineStr">
        <is>
          <t>2007-04-16</t>
        </is>
      </c>
      <c r="W81" t="inlineStr">
        <is>
          <t>1993-04-26</t>
        </is>
      </c>
      <c r="X81" t="inlineStr">
        <is>
          <t>1993-04-26</t>
        </is>
      </c>
      <c r="Y81" t="n">
        <v>558</v>
      </c>
      <c r="Z81" t="n">
        <v>428</v>
      </c>
      <c r="AA81" t="n">
        <v>477</v>
      </c>
      <c r="AB81" t="n">
        <v>4</v>
      </c>
      <c r="AC81" t="n">
        <v>4</v>
      </c>
      <c r="AD81" t="n">
        <v>17</v>
      </c>
      <c r="AE81" t="n">
        <v>19</v>
      </c>
      <c r="AF81" t="n">
        <v>6</v>
      </c>
      <c r="AG81" t="n">
        <v>7</v>
      </c>
      <c r="AH81" t="n">
        <v>5</v>
      </c>
      <c r="AI81" t="n">
        <v>5</v>
      </c>
      <c r="AJ81" t="n">
        <v>7</v>
      </c>
      <c r="AK81" t="n">
        <v>8</v>
      </c>
      <c r="AL81" t="n">
        <v>3</v>
      </c>
      <c r="AM81" t="n">
        <v>3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HYPERLINK("https://creighton-primo.hosted.exlibrisgroup.com/primo-explore/search?tab=default_tab&amp;search_scope=EVERYTHING&amp;vid=01CRU&amp;lang=en_US&amp;offset=0&amp;query=any,contains,991005369779702656","Catalog Record")</f>
        <v/>
      </c>
      <c r="AT81">
        <f>HYPERLINK("http://www.worldcat.org/oclc/2466386","WorldCat Record")</f>
        <v/>
      </c>
    </row>
    <row r="82">
      <c r="A82" t="inlineStr">
        <is>
          <t>No</t>
        </is>
      </c>
      <c r="B82" t="inlineStr">
        <is>
          <t>R601 .C76</t>
        </is>
      </c>
      <c r="C82" t="inlineStr">
        <is>
          <t>0                      R  0601000C  76</t>
        </is>
      </c>
      <c r="D82" t="inlineStr">
        <is>
          <t>Traditional medicine in modern China : science, nationalism, and the tensions of cultural change / [by] Ralph C. Croizier.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Croizier, Ralph C.</t>
        </is>
      </c>
      <c r="L82" t="inlineStr">
        <is>
          <t>Cambridge : Harvard University Press, 1968.</t>
        </is>
      </c>
      <c r="M82" t="inlineStr">
        <is>
          <t>1968</t>
        </is>
      </c>
      <c r="O82" t="inlineStr">
        <is>
          <t>eng</t>
        </is>
      </c>
      <c r="P82" t="inlineStr">
        <is>
          <t>mau</t>
        </is>
      </c>
      <c r="Q82" t="inlineStr">
        <is>
          <t>Harvard East Asian series ; 34</t>
        </is>
      </c>
      <c r="R82" t="inlineStr">
        <is>
          <t xml:space="preserve">R  </t>
        </is>
      </c>
      <c r="S82" t="n">
        <v>11</v>
      </c>
      <c r="T82" t="n">
        <v>11</v>
      </c>
      <c r="U82" t="inlineStr">
        <is>
          <t>2006-04-12</t>
        </is>
      </c>
      <c r="V82" t="inlineStr">
        <is>
          <t>2006-04-12</t>
        </is>
      </c>
      <c r="W82" t="inlineStr">
        <is>
          <t>1990-02-22</t>
        </is>
      </c>
      <c r="X82" t="inlineStr">
        <is>
          <t>1990-02-22</t>
        </is>
      </c>
      <c r="Y82" t="n">
        <v>584</v>
      </c>
      <c r="Z82" t="n">
        <v>461</v>
      </c>
      <c r="AA82" t="n">
        <v>466</v>
      </c>
      <c r="AB82" t="n">
        <v>2</v>
      </c>
      <c r="AC82" t="n">
        <v>2</v>
      </c>
      <c r="AD82" t="n">
        <v>23</v>
      </c>
      <c r="AE82" t="n">
        <v>23</v>
      </c>
      <c r="AF82" t="n">
        <v>9</v>
      </c>
      <c r="AG82" t="n">
        <v>9</v>
      </c>
      <c r="AH82" t="n">
        <v>8</v>
      </c>
      <c r="AI82" t="n">
        <v>8</v>
      </c>
      <c r="AJ82" t="n">
        <v>12</v>
      </c>
      <c r="AK82" t="n">
        <v>12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HYPERLINK("http://catalog.hathitrust.org/Record/001557584","HathiTrust Record")</f>
        <v/>
      </c>
      <c r="AS82">
        <f>HYPERLINK("https://creighton-primo.hosted.exlibrisgroup.com/primo-explore/search?tab=default_tab&amp;search_scope=EVERYTHING&amp;vid=01CRU&amp;lang=en_US&amp;offset=0&amp;query=any,contains,991001374509702656","Catalog Record")</f>
        <v/>
      </c>
      <c r="AT82">
        <f>HYPERLINK("http://www.worldcat.org/oclc/224548","WorldCat Record")</f>
        <v/>
      </c>
    </row>
    <row r="83">
      <c r="A83" t="inlineStr">
        <is>
          <t>No</t>
        </is>
      </c>
      <c r="B83" t="inlineStr">
        <is>
          <t>R601 .S57</t>
        </is>
      </c>
      <c r="C83" t="inlineStr">
        <is>
          <t>0                      R  0601000S  57</t>
        </is>
      </c>
      <c r="D83" t="inlineStr">
        <is>
          <t>Serve the people; observations on medicine in the People's Republic of China [by] Victor W. Sidel and Ruth Sidel.</t>
        </is>
      </c>
      <c r="F83" t="inlineStr">
        <is>
          <t>No</t>
        </is>
      </c>
      <c r="G83" t="inlineStr">
        <is>
          <t>1</t>
        </is>
      </c>
      <c r="H83" t="inlineStr">
        <is>
          <t>Yes</t>
        </is>
      </c>
      <c r="I83" t="inlineStr">
        <is>
          <t>No</t>
        </is>
      </c>
      <c r="J83" t="inlineStr">
        <is>
          <t>0</t>
        </is>
      </c>
      <c r="K83" t="inlineStr">
        <is>
          <t>Sidel, Victor W.</t>
        </is>
      </c>
      <c r="L83" t="inlineStr">
        <is>
          <t>New York, Josiah Macy, Jr. Foundation [c1973]</t>
        </is>
      </c>
      <c r="M83" t="inlineStr">
        <is>
          <t>1973</t>
        </is>
      </c>
      <c r="O83" t="inlineStr">
        <is>
          <t>eng</t>
        </is>
      </c>
      <c r="P83" t="inlineStr">
        <is>
          <t>nyu</t>
        </is>
      </c>
      <c r="Q83" t="inlineStr">
        <is>
          <t>Macy Foundation series on medicine and public health in China</t>
        </is>
      </c>
      <c r="R83" t="inlineStr">
        <is>
          <t xml:space="preserve">R  </t>
        </is>
      </c>
      <c r="S83" t="n">
        <v>6</v>
      </c>
      <c r="T83" t="n">
        <v>7</v>
      </c>
      <c r="U83" t="inlineStr">
        <is>
          <t>1999-09-22</t>
        </is>
      </c>
      <c r="V83" t="inlineStr">
        <is>
          <t>1999-09-22</t>
        </is>
      </c>
      <c r="W83" t="inlineStr">
        <is>
          <t>1997-08-07</t>
        </is>
      </c>
      <c r="X83" t="inlineStr">
        <is>
          <t>1997-08-07</t>
        </is>
      </c>
      <c r="Y83" t="n">
        <v>391</v>
      </c>
      <c r="Z83" t="n">
        <v>337</v>
      </c>
      <c r="AA83" t="n">
        <v>436</v>
      </c>
      <c r="AB83" t="n">
        <v>2</v>
      </c>
      <c r="AC83" t="n">
        <v>2</v>
      </c>
      <c r="AD83" t="n">
        <v>14</v>
      </c>
      <c r="AE83" t="n">
        <v>16</v>
      </c>
      <c r="AF83" t="n">
        <v>5</v>
      </c>
      <c r="AG83" t="n">
        <v>7</v>
      </c>
      <c r="AH83" t="n">
        <v>5</v>
      </c>
      <c r="AI83" t="n">
        <v>5</v>
      </c>
      <c r="AJ83" t="n">
        <v>7</v>
      </c>
      <c r="AK83" t="n">
        <v>8</v>
      </c>
      <c r="AL83" t="n">
        <v>0</v>
      </c>
      <c r="AM83" t="n">
        <v>0</v>
      </c>
      <c r="AN83" t="n">
        <v>1</v>
      </c>
      <c r="AO83" t="n">
        <v>1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HYPERLINK("http://catalog.hathitrust.org/Record/000012490","HathiTrust Record")</f>
        <v/>
      </c>
      <c r="AS83">
        <f>HYPERLINK("https://creighton-primo.hosted.exlibrisgroup.com/primo-explore/search?tab=default_tab&amp;search_scope=EVERYTHING&amp;vid=01CRU&amp;lang=en_US&amp;offset=0&amp;query=any,contains,991001756179702656","Catalog Record")</f>
        <v/>
      </c>
      <c r="AT83">
        <f>HYPERLINK("http://www.worldcat.org/oclc/821170","WorldCat Record")</f>
        <v/>
      </c>
    </row>
    <row r="84">
      <c r="A84" t="inlineStr">
        <is>
          <t>No</t>
        </is>
      </c>
      <c r="B84" t="inlineStr">
        <is>
          <t>R601 .W263</t>
        </is>
      </c>
      <c r="C84" t="inlineStr">
        <is>
          <t>0                      R  0601000W  263</t>
        </is>
      </c>
      <c r="D84" t="inlineStr">
        <is>
          <t>Chinese folk medicine / by Heinrich Wallnöfer and Anna von Rottauscher. Translated by Marion Palmedo.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Wallnöfer, Heinrich.</t>
        </is>
      </c>
      <c r="L84" t="inlineStr">
        <is>
          <t>New York : Crown Publishers, [1965]</t>
        </is>
      </c>
      <c r="M84" t="inlineStr">
        <is>
          <t>1965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R  </t>
        </is>
      </c>
      <c r="S84" t="n">
        <v>16</v>
      </c>
      <c r="T84" t="n">
        <v>16</v>
      </c>
      <c r="U84" t="inlineStr">
        <is>
          <t>2006-04-12</t>
        </is>
      </c>
      <c r="V84" t="inlineStr">
        <is>
          <t>2006-04-12</t>
        </is>
      </c>
      <c r="W84" t="inlineStr">
        <is>
          <t>1990-02-22</t>
        </is>
      </c>
      <c r="X84" t="inlineStr">
        <is>
          <t>1990-02-22</t>
        </is>
      </c>
      <c r="Y84" t="n">
        <v>364</v>
      </c>
      <c r="Z84" t="n">
        <v>344</v>
      </c>
      <c r="AA84" t="n">
        <v>477</v>
      </c>
      <c r="AB84" t="n">
        <v>2</v>
      </c>
      <c r="AC84" t="n">
        <v>4</v>
      </c>
      <c r="AD84" t="n">
        <v>2</v>
      </c>
      <c r="AE84" t="n">
        <v>8</v>
      </c>
      <c r="AF84" t="n">
        <v>1</v>
      </c>
      <c r="AG84" t="n">
        <v>3</v>
      </c>
      <c r="AH84" t="n">
        <v>0</v>
      </c>
      <c r="AI84" t="n">
        <v>1</v>
      </c>
      <c r="AJ84" t="n">
        <v>1</v>
      </c>
      <c r="AK84" t="n">
        <v>4</v>
      </c>
      <c r="AL84" t="n">
        <v>0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HYPERLINK("http://catalog.hathitrust.org/Record/001557594","HathiTrust Record")</f>
        <v/>
      </c>
      <c r="AS84">
        <f>HYPERLINK("https://creighton-primo.hosted.exlibrisgroup.com/primo-explore/search?tab=default_tab&amp;search_scope=EVERYTHING&amp;vid=01CRU&amp;lang=en_US&amp;offset=0&amp;query=any,contains,991003734859702656","Catalog Record")</f>
        <v/>
      </c>
      <c r="AT84">
        <f>HYPERLINK("http://www.worldcat.org/oclc/1389312","WorldCat Record")</f>
        <v/>
      </c>
    </row>
    <row r="85">
      <c r="A85" t="inlineStr">
        <is>
          <t>No</t>
        </is>
      </c>
      <c r="B85" t="inlineStr">
        <is>
          <t>R602 .L58 1988</t>
        </is>
      </c>
      <c r="C85" t="inlineStr">
        <is>
          <t>0                      R  0602000L  58          1988</t>
        </is>
      </c>
      <c r="D85" t="inlineStr">
        <is>
          <t>The essential book of traditional Chinese medicine / Liu Yanchi ; translated by Fang Tingyu and Chen Laidi ; written and edited in collaboration with Kathleen Vian and Peter Eckman ; [illustrations drawn by Cheng Duoduo].</t>
        </is>
      </c>
      <c r="E85" t="inlineStr">
        <is>
          <t>V.1</t>
        </is>
      </c>
      <c r="F85" t="inlineStr">
        <is>
          <t>Yes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Liu, Yanchi.</t>
        </is>
      </c>
      <c r="L85" t="inlineStr">
        <is>
          <t>New York : Columbia University Press, 1988.</t>
        </is>
      </c>
      <c r="M85" t="inlineStr">
        <is>
          <t>1988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R  </t>
        </is>
      </c>
      <c r="S85" t="n">
        <v>11</v>
      </c>
      <c r="T85" t="n">
        <v>23</v>
      </c>
      <c r="U85" t="inlineStr">
        <is>
          <t>2007-02-12</t>
        </is>
      </c>
      <c r="V85" t="inlineStr">
        <is>
          <t>2007-02-12</t>
        </is>
      </c>
      <c r="W85" t="inlineStr">
        <is>
          <t>1990-02-22</t>
        </is>
      </c>
      <c r="X85" t="inlineStr">
        <is>
          <t>1990-02-22</t>
        </is>
      </c>
      <c r="Y85" t="n">
        <v>360</v>
      </c>
      <c r="Z85" t="n">
        <v>289</v>
      </c>
      <c r="AA85" t="n">
        <v>362</v>
      </c>
      <c r="AB85" t="n">
        <v>1</v>
      </c>
      <c r="AC85" t="n">
        <v>1</v>
      </c>
      <c r="AD85" t="n">
        <v>6</v>
      </c>
      <c r="AE85" t="n">
        <v>12</v>
      </c>
      <c r="AF85" t="n">
        <v>4</v>
      </c>
      <c r="AG85" t="n">
        <v>9</v>
      </c>
      <c r="AH85" t="n">
        <v>2</v>
      </c>
      <c r="AI85" t="n">
        <v>3</v>
      </c>
      <c r="AJ85" t="n">
        <v>2</v>
      </c>
      <c r="AK85" t="n">
        <v>4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HYPERLINK("https://creighton-primo.hosted.exlibrisgroup.com/primo-explore/search?tab=default_tab&amp;search_scope=EVERYTHING&amp;vid=01CRU&amp;lang=en_US&amp;offset=0&amp;query=any,contains,991001036179702656","Catalog Record")</f>
        <v/>
      </c>
      <c r="AT85">
        <f>HYPERLINK("http://www.worldcat.org/oclc/15549284","WorldCat Record")</f>
        <v/>
      </c>
    </row>
    <row r="86">
      <c r="A86" t="inlineStr">
        <is>
          <t>No</t>
        </is>
      </c>
      <c r="B86" t="inlineStr">
        <is>
          <t>R602 .L58 1988</t>
        </is>
      </c>
      <c r="C86" t="inlineStr">
        <is>
          <t>0                      R  0602000L  58          1988</t>
        </is>
      </c>
      <c r="D86" t="inlineStr">
        <is>
          <t>The essential book of traditional Chinese medicine / Liu Yanchi ; translated by Fang Tingyu and Chen Laidi ; written and edited in collaboration with Kathleen Vian and Peter Eckman ; [illustrations drawn by Cheng Duoduo].</t>
        </is>
      </c>
      <c r="E86" t="inlineStr">
        <is>
          <t>V.2</t>
        </is>
      </c>
      <c r="F86" t="inlineStr">
        <is>
          <t>Yes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Liu, Yanchi.</t>
        </is>
      </c>
      <c r="L86" t="inlineStr">
        <is>
          <t>New York : Columbia University Press, 1988.</t>
        </is>
      </c>
      <c r="M86" t="inlineStr">
        <is>
          <t>1988</t>
        </is>
      </c>
      <c r="O86" t="inlineStr">
        <is>
          <t>eng</t>
        </is>
      </c>
      <c r="P86" t="inlineStr">
        <is>
          <t>nyu</t>
        </is>
      </c>
      <c r="R86" t="inlineStr">
        <is>
          <t xml:space="preserve">R  </t>
        </is>
      </c>
      <c r="S86" t="n">
        <v>12</v>
      </c>
      <c r="T86" t="n">
        <v>23</v>
      </c>
      <c r="U86" t="inlineStr">
        <is>
          <t>2007-02-12</t>
        </is>
      </c>
      <c r="V86" t="inlineStr">
        <is>
          <t>2007-02-12</t>
        </is>
      </c>
      <c r="W86" t="inlineStr">
        <is>
          <t>1990-02-22</t>
        </is>
      </c>
      <c r="X86" t="inlineStr">
        <is>
          <t>1990-02-22</t>
        </is>
      </c>
      <c r="Y86" t="n">
        <v>360</v>
      </c>
      <c r="Z86" t="n">
        <v>289</v>
      </c>
      <c r="AA86" t="n">
        <v>362</v>
      </c>
      <c r="AB86" t="n">
        <v>1</v>
      </c>
      <c r="AC86" t="n">
        <v>1</v>
      </c>
      <c r="AD86" t="n">
        <v>6</v>
      </c>
      <c r="AE86" t="n">
        <v>12</v>
      </c>
      <c r="AF86" t="n">
        <v>4</v>
      </c>
      <c r="AG86" t="n">
        <v>9</v>
      </c>
      <c r="AH86" t="n">
        <v>2</v>
      </c>
      <c r="AI86" t="n">
        <v>3</v>
      </c>
      <c r="AJ86" t="n">
        <v>2</v>
      </c>
      <c r="AK86" t="n">
        <v>4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HYPERLINK("https://creighton-primo.hosted.exlibrisgroup.com/primo-explore/search?tab=default_tab&amp;search_scope=EVERYTHING&amp;vid=01CRU&amp;lang=en_US&amp;offset=0&amp;query=any,contains,991001036179702656","Catalog Record")</f>
        <v/>
      </c>
      <c r="AT86">
        <f>HYPERLINK("http://www.worldcat.org/oclc/15549284","WorldCat Record")</f>
        <v/>
      </c>
    </row>
    <row r="87">
      <c r="A87" t="inlineStr">
        <is>
          <t>No</t>
        </is>
      </c>
      <c r="B87" t="inlineStr">
        <is>
          <t>R605 .D46 1989</t>
        </is>
      </c>
      <c r="C87" t="inlineStr">
        <is>
          <t>0                      R  0605000D  46          1989</t>
        </is>
      </c>
      <c r="D87" t="inlineStr">
        <is>
          <t>Health and medicine in the Hindu tradition : continuity and cohesion / Prakash N. Desai.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Desai, Prakash N.</t>
        </is>
      </c>
      <c r="L87" t="inlineStr">
        <is>
          <t>New York : Crossroad, 1989.</t>
        </is>
      </c>
      <c r="M87" t="inlineStr">
        <is>
          <t>1989</t>
        </is>
      </c>
      <c r="O87" t="inlineStr">
        <is>
          <t>eng</t>
        </is>
      </c>
      <c r="P87" t="inlineStr">
        <is>
          <t>nyu</t>
        </is>
      </c>
      <c r="Q87" t="inlineStr">
        <is>
          <t>Health/medicine and the faith traditions</t>
        </is>
      </c>
      <c r="R87" t="inlineStr">
        <is>
          <t xml:space="preserve">R  </t>
        </is>
      </c>
      <c r="S87" t="n">
        <v>56</v>
      </c>
      <c r="T87" t="n">
        <v>56</v>
      </c>
      <c r="U87" t="inlineStr">
        <is>
          <t>2007-02-12</t>
        </is>
      </c>
      <c r="V87" t="inlineStr">
        <is>
          <t>2007-02-12</t>
        </is>
      </c>
      <c r="W87" t="inlineStr">
        <is>
          <t>1990-01-18</t>
        </is>
      </c>
      <c r="X87" t="inlineStr">
        <is>
          <t>1990-01-18</t>
        </is>
      </c>
      <c r="Y87" t="n">
        <v>256</v>
      </c>
      <c r="Z87" t="n">
        <v>216</v>
      </c>
      <c r="AA87" t="n">
        <v>222</v>
      </c>
      <c r="AB87" t="n">
        <v>1</v>
      </c>
      <c r="AC87" t="n">
        <v>1</v>
      </c>
      <c r="AD87" t="n">
        <v>14</v>
      </c>
      <c r="AE87" t="n">
        <v>14</v>
      </c>
      <c r="AF87" t="n">
        <v>3</v>
      </c>
      <c r="AG87" t="n">
        <v>3</v>
      </c>
      <c r="AH87" t="n">
        <v>5</v>
      </c>
      <c r="AI87" t="n">
        <v>5</v>
      </c>
      <c r="AJ87" t="n">
        <v>9</v>
      </c>
      <c r="AK87" t="n">
        <v>9</v>
      </c>
      <c r="AL87" t="n">
        <v>0</v>
      </c>
      <c r="AM87" t="n">
        <v>0</v>
      </c>
      <c r="AN87" t="n">
        <v>1</v>
      </c>
      <c r="AO87" t="n">
        <v>1</v>
      </c>
      <c r="AP87" t="inlineStr">
        <is>
          <t>No</t>
        </is>
      </c>
      <c r="AQ87" t="inlineStr">
        <is>
          <t>Yes</t>
        </is>
      </c>
      <c r="AR87">
        <f>HYPERLINK("http://catalog.hathitrust.org/Record/002557223","HathiTrust Record")</f>
        <v/>
      </c>
      <c r="AS87">
        <f>HYPERLINK("https://creighton-primo.hosted.exlibrisgroup.com/primo-explore/search?tab=default_tab&amp;search_scope=EVERYTHING&amp;vid=01CRU&amp;lang=en_US&amp;offset=0&amp;query=any,contains,991001503139702656","Catalog Record")</f>
        <v/>
      </c>
      <c r="AT87">
        <f>HYPERLINK("http://www.worldcat.org/oclc/19814598","WorldCat Record")</f>
        <v/>
      </c>
    </row>
    <row r="88">
      <c r="A88" t="inlineStr">
        <is>
          <t>No</t>
        </is>
      </c>
      <c r="B88" t="inlineStr">
        <is>
          <t>R651 .A37 1979</t>
        </is>
      </c>
      <c r="C88" t="inlineStr">
        <is>
          <t>0                      R  0651000A  37          1979</t>
        </is>
      </c>
      <c r="D88" t="inlineStr">
        <is>
          <t>African therapeutic systems / edited by Z.A. Ademuwagun ... [et al.].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[Los Angeles, Calif.] : Crossroads Press, c1979.</t>
        </is>
      </c>
      <c r="M88" t="inlineStr">
        <is>
          <t>1979</t>
        </is>
      </c>
      <c r="O88" t="inlineStr">
        <is>
          <t>eng</t>
        </is>
      </c>
      <c r="P88" t="inlineStr">
        <is>
          <t>cau</t>
        </is>
      </c>
      <c r="R88" t="inlineStr">
        <is>
          <t xml:space="preserve">R  </t>
        </is>
      </c>
      <c r="S88" t="n">
        <v>4</v>
      </c>
      <c r="T88" t="n">
        <v>4</v>
      </c>
      <c r="U88" t="inlineStr">
        <is>
          <t>2008-05-20</t>
        </is>
      </c>
      <c r="V88" t="inlineStr">
        <is>
          <t>2008-05-20</t>
        </is>
      </c>
      <c r="W88" t="inlineStr">
        <is>
          <t>1992-04-03</t>
        </is>
      </c>
      <c r="X88" t="inlineStr">
        <is>
          <t>1992-04-03</t>
        </is>
      </c>
      <c r="Y88" t="n">
        <v>252</v>
      </c>
      <c r="Z88" t="n">
        <v>192</v>
      </c>
      <c r="AA88" t="n">
        <v>196</v>
      </c>
      <c r="AB88" t="n">
        <v>3</v>
      </c>
      <c r="AC88" t="n">
        <v>3</v>
      </c>
      <c r="AD88" t="n">
        <v>6</v>
      </c>
      <c r="AE88" t="n">
        <v>6</v>
      </c>
      <c r="AF88" t="n">
        <v>0</v>
      </c>
      <c r="AG88" t="n">
        <v>0</v>
      </c>
      <c r="AH88" t="n">
        <v>4</v>
      </c>
      <c r="AI88" t="n">
        <v>4</v>
      </c>
      <c r="AJ88" t="n">
        <v>2</v>
      </c>
      <c r="AK88" t="n">
        <v>2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HYPERLINK("http://catalog.hathitrust.org/Record/000297297","HathiTrust Record")</f>
        <v/>
      </c>
      <c r="AS88">
        <f>HYPERLINK("https://creighton-primo.hosted.exlibrisgroup.com/primo-explore/search?tab=default_tab&amp;search_scope=EVERYTHING&amp;vid=01CRU&amp;lang=en_US&amp;offset=0&amp;query=any,contains,991005241869702656","Catalog Record")</f>
        <v/>
      </c>
      <c r="AT88">
        <f>HYPERLINK("http://www.worldcat.org/oclc/8430110","WorldCat Record")</f>
        <v/>
      </c>
    </row>
    <row r="89">
      <c r="A89" t="inlineStr">
        <is>
          <t>No</t>
        </is>
      </c>
      <c r="B89" t="inlineStr">
        <is>
          <t>R651 .B44 1999</t>
        </is>
      </c>
      <c r="C89" t="inlineStr">
        <is>
          <t>0                      R  0651000B  44          1999</t>
        </is>
      </c>
      <c r="D89" t="inlineStr">
        <is>
          <t>Frontiers of medicine in the Anglo-Eqyptian Sudan, 1899-1940 / Heather Bell.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Bell, Heather.</t>
        </is>
      </c>
      <c r="L89" t="inlineStr">
        <is>
          <t>Oxford : Clarendon Press ; New York : Oxford University Press, 1999.</t>
        </is>
      </c>
      <c r="M89" t="inlineStr">
        <is>
          <t>1999</t>
        </is>
      </c>
      <c r="O89" t="inlineStr">
        <is>
          <t>eng</t>
        </is>
      </c>
      <c r="P89" t="inlineStr">
        <is>
          <t>enk</t>
        </is>
      </c>
      <c r="Q89" t="inlineStr">
        <is>
          <t>Oxford historical monographs</t>
        </is>
      </c>
      <c r="R89" t="inlineStr">
        <is>
          <t xml:space="preserve">R  </t>
        </is>
      </c>
      <c r="S89" t="n">
        <v>8</v>
      </c>
      <c r="T89" t="n">
        <v>8</v>
      </c>
      <c r="U89" t="inlineStr">
        <is>
          <t>2006-04-29</t>
        </is>
      </c>
      <c r="V89" t="inlineStr">
        <is>
          <t>2006-04-29</t>
        </is>
      </c>
      <c r="W89" t="inlineStr">
        <is>
          <t>2002-03-07</t>
        </is>
      </c>
      <c r="X89" t="inlineStr">
        <is>
          <t>2002-03-07</t>
        </is>
      </c>
      <c r="Y89" t="n">
        <v>170</v>
      </c>
      <c r="Z89" t="n">
        <v>125</v>
      </c>
      <c r="AA89" t="n">
        <v>161</v>
      </c>
      <c r="AB89" t="n">
        <v>2</v>
      </c>
      <c r="AC89" t="n">
        <v>2</v>
      </c>
      <c r="AD89" t="n">
        <v>6</v>
      </c>
      <c r="AE89" t="n">
        <v>8</v>
      </c>
      <c r="AF89" t="n">
        <v>1</v>
      </c>
      <c r="AG89" t="n">
        <v>1</v>
      </c>
      <c r="AH89" t="n">
        <v>3</v>
      </c>
      <c r="AI89" t="n">
        <v>5</v>
      </c>
      <c r="AJ89" t="n">
        <v>3</v>
      </c>
      <c r="AK89" t="n">
        <v>3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HYPERLINK("https://creighton-primo.hosted.exlibrisgroup.com/primo-explore/search?tab=default_tab&amp;search_scope=EVERYTHING&amp;vid=01CRU&amp;lang=en_US&amp;offset=0&amp;query=any,contains,991003732579702656","Catalog Record")</f>
        <v/>
      </c>
      <c r="AT89">
        <f>HYPERLINK("http://www.worldcat.org/oclc/40120283","WorldCat Record")</f>
        <v/>
      </c>
    </row>
    <row r="90">
      <c r="A90" t="inlineStr">
        <is>
          <t>No</t>
        </is>
      </c>
      <c r="B90" t="inlineStr">
        <is>
          <t>R651 .F45 1984</t>
        </is>
      </c>
      <c r="C90" t="inlineStr">
        <is>
          <t>0                      R  0651000F  45          1984</t>
        </is>
      </c>
      <c r="D90" t="inlineStr">
        <is>
          <t>The social origins of health and healing in Africa / by Steven Feierman.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Feierman, Steven, 1940-</t>
        </is>
      </c>
      <c r="L90" t="inlineStr">
        <is>
          <t>[Madison, Wis. : S. Feierman, 1984]</t>
        </is>
      </c>
      <c r="M90" t="inlineStr">
        <is>
          <t>1984</t>
        </is>
      </c>
      <c r="O90" t="inlineStr">
        <is>
          <t>eng</t>
        </is>
      </c>
      <c r="P90" t="inlineStr">
        <is>
          <t xml:space="preserve">xx </t>
        </is>
      </c>
      <c r="R90" t="inlineStr">
        <is>
          <t xml:space="preserve">R  </t>
        </is>
      </c>
      <c r="S90" t="n">
        <v>8</v>
      </c>
      <c r="T90" t="n">
        <v>8</v>
      </c>
      <c r="U90" t="inlineStr">
        <is>
          <t>2006-04-29</t>
        </is>
      </c>
      <c r="V90" t="inlineStr">
        <is>
          <t>2006-04-29</t>
        </is>
      </c>
      <c r="W90" t="inlineStr">
        <is>
          <t>1992-09-29</t>
        </is>
      </c>
      <c r="X90" t="inlineStr">
        <is>
          <t>1992-09-29</t>
        </is>
      </c>
      <c r="Y90" t="n">
        <v>7</v>
      </c>
      <c r="Z90" t="n">
        <v>7</v>
      </c>
      <c r="AA90" t="n">
        <v>7</v>
      </c>
      <c r="AB90" t="n">
        <v>1</v>
      </c>
      <c r="AC90" t="n">
        <v>1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HYPERLINK("https://creighton-primo.hosted.exlibrisgroup.com/primo-explore/search?tab=default_tab&amp;search_scope=EVERYTHING&amp;vid=01CRU&amp;lang=en_US&amp;offset=0&amp;query=any,contains,991000540779702656","Catalog Record")</f>
        <v/>
      </c>
      <c r="AT90">
        <f>HYPERLINK("http://www.worldcat.org/oclc/11482240","WorldCat Record")</f>
        <v/>
      </c>
    </row>
    <row r="91">
      <c r="A91" t="inlineStr">
        <is>
          <t>No</t>
        </is>
      </c>
      <c r="B91" t="inlineStr">
        <is>
          <t>R690 .H334 2002</t>
        </is>
      </c>
      <c r="C91" t="inlineStr">
        <is>
          <t>0                      R  0690000H  334         2002</t>
        </is>
      </c>
      <c r="D91" t="inlineStr">
        <is>
          <t>Careers in healthcare management : how to find your path and follow it / Cynthia Carter Haddock, Robert A. McLean, and Robert C. Chapman.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Haddock, Cynthia Carter, 1954-</t>
        </is>
      </c>
      <c r="L91" t="inlineStr">
        <is>
          <t>Chicago, Ill. : Health Administration Press, 2002.</t>
        </is>
      </c>
      <c r="M91" t="inlineStr">
        <is>
          <t>2002</t>
        </is>
      </c>
      <c r="O91" t="inlineStr">
        <is>
          <t>eng</t>
        </is>
      </c>
      <c r="P91" t="inlineStr">
        <is>
          <t>ilu</t>
        </is>
      </c>
      <c r="R91" t="inlineStr">
        <is>
          <t xml:space="preserve">R  </t>
        </is>
      </c>
      <c r="S91" t="n">
        <v>3</v>
      </c>
      <c r="T91" t="n">
        <v>3</v>
      </c>
      <c r="U91" t="inlineStr">
        <is>
          <t>2008-01-10</t>
        </is>
      </c>
      <c r="V91" t="inlineStr">
        <is>
          <t>2008-01-10</t>
        </is>
      </c>
      <c r="W91" t="inlineStr">
        <is>
          <t>2003-01-07</t>
        </is>
      </c>
      <c r="X91" t="inlineStr">
        <is>
          <t>2003-01-07</t>
        </is>
      </c>
      <c r="Y91" t="n">
        <v>78</v>
      </c>
      <c r="Z91" t="n">
        <v>73</v>
      </c>
      <c r="AA91" t="n">
        <v>940</v>
      </c>
      <c r="AB91" t="n">
        <v>1</v>
      </c>
      <c r="AC91" t="n">
        <v>25</v>
      </c>
      <c r="AD91" t="n">
        <v>4</v>
      </c>
      <c r="AE91" t="n">
        <v>25</v>
      </c>
      <c r="AF91" t="n">
        <v>0</v>
      </c>
      <c r="AG91" t="n">
        <v>7</v>
      </c>
      <c r="AH91" t="n">
        <v>1</v>
      </c>
      <c r="AI91" t="n">
        <v>4</v>
      </c>
      <c r="AJ91" t="n">
        <v>4</v>
      </c>
      <c r="AK91" t="n">
        <v>8</v>
      </c>
      <c r="AL91" t="n">
        <v>0</v>
      </c>
      <c r="AM91" t="n">
        <v>10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HYPERLINK("https://creighton-primo.hosted.exlibrisgroup.com/primo-explore/search?tab=default_tab&amp;search_scope=EVERYTHING&amp;vid=01CRU&amp;lang=en_US&amp;offset=0&amp;query=any,contains,991003954929702656","Catalog Record")</f>
        <v/>
      </c>
      <c r="AT91">
        <f>HYPERLINK("http://www.worldcat.org/oclc/48451015","WorldCat Record")</f>
        <v/>
      </c>
    </row>
    <row r="92">
      <c r="A92" t="inlineStr">
        <is>
          <t>No</t>
        </is>
      </c>
      <c r="B92" t="inlineStr">
        <is>
          <t>R692 .W34 1977</t>
        </is>
      </c>
      <c r="C92" t="inlineStr">
        <is>
          <t>0                      R  0692000W  34          1977</t>
        </is>
      </c>
      <c r="D92" t="inlineStr">
        <is>
          <t>"Doctors wanted, no women need apply" : sexual barriers in the medical profession, 1835-1975 / Mary Roth Walsh.</t>
        </is>
      </c>
      <c r="F92" t="inlineStr">
        <is>
          <t>No</t>
        </is>
      </c>
      <c r="G92" t="inlineStr">
        <is>
          <t>1</t>
        </is>
      </c>
      <c r="H92" t="inlineStr">
        <is>
          <t>Yes</t>
        </is>
      </c>
      <c r="I92" t="inlineStr">
        <is>
          <t>No</t>
        </is>
      </c>
      <c r="J92" t="inlineStr">
        <is>
          <t>0</t>
        </is>
      </c>
      <c r="K92" t="inlineStr">
        <is>
          <t>Walsh, Mary Roth.</t>
        </is>
      </c>
      <c r="L92" t="inlineStr">
        <is>
          <t>New Haven : Yale University Press, 1977.</t>
        </is>
      </c>
      <c r="M92" t="inlineStr">
        <is>
          <t>1977</t>
        </is>
      </c>
      <c r="O92" t="inlineStr">
        <is>
          <t>eng</t>
        </is>
      </c>
      <c r="P92" t="inlineStr">
        <is>
          <t>ctu</t>
        </is>
      </c>
      <c r="R92" t="inlineStr">
        <is>
          <t xml:space="preserve">R  </t>
        </is>
      </c>
      <c r="S92" t="n">
        <v>6</v>
      </c>
      <c r="T92" t="n">
        <v>14</v>
      </c>
      <c r="U92" t="inlineStr">
        <is>
          <t>1995-10-23</t>
        </is>
      </c>
      <c r="V92" t="inlineStr">
        <is>
          <t>2006-02-24</t>
        </is>
      </c>
      <c r="W92" t="inlineStr">
        <is>
          <t>1993-03-08</t>
        </is>
      </c>
      <c r="X92" t="inlineStr">
        <is>
          <t>1993-03-08</t>
        </is>
      </c>
      <c r="Y92" t="n">
        <v>1108</v>
      </c>
      <c r="Z92" t="n">
        <v>973</v>
      </c>
      <c r="AA92" t="n">
        <v>989</v>
      </c>
      <c r="AB92" t="n">
        <v>6</v>
      </c>
      <c r="AC92" t="n">
        <v>6</v>
      </c>
      <c r="AD92" t="n">
        <v>38</v>
      </c>
      <c r="AE92" t="n">
        <v>38</v>
      </c>
      <c r="AF92" t="n">
        <v>17</v>
      </c>
      <c r="AG92" t="n">
        <v>17</v>
      </c>
      <c r="AH92" t="n">
        <v>8</v>
      </c>
      <c r="AI92" t="n">
        <v>8</v>
      </c>
      <c r="AJ92" t="n">
        <v>14</v>
      </c>
      <c r="AK92" t="n">
        <v>14</v>
      </c>
      <c r="AL92" t="n">
        <v>4</v>
      </c>
      <c r="AM92" t="n">
        <v>4</v>
      </c>
      <c r="AN92" t="n">
        <v>4</v>
      </c>
      <c r="AO92" t="n">
        <v>4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HYPERLINK("https://creighton-primo.hosted.exlibrisgroup.com/primo-explore/search?tab=default_tab&amp;search_scope=EVERYTHING&amp;vid=01CRU&amp;lang=en_US&amp;offset=0&amp;query=any,contains,991001788979702656","Catalog Record")</f>
        <v/>
      </c>
      <c r="AT92">
        <f>HYPERLINK("http://www.worldcat.org/oclc/2463650","WorldCat Record")</f>
        <v/>
      </c>
    </row>
    <row r="93">
      <c r="A93" t="inlineStr">
        <is>
          <t>No</t>
        </is>
      </c>
      <c r="B93" t="inlineStr">
        <is>
          <t>R702 .B56</t>
        </is>
      </c>
      <c r="C93" t="inlineStr">
        <is>
          <t>0                      R  0702000B  56</t>
        </is>
      </c>
      <c r="D93" t="inlineStr">
        <is>
          <t>Biology of man in history : selections from the Annales, économies, sociétés, civilisations edited by Robert Forster and Orest Ranum ; translated by Elborg Forster and Patricia M. Ranum.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Baltimore : The Johns Hopkins University Press, [1975]</t>
        </is>
      </c>
      <c r="M93" t="inlineStr">
        <is>
          <t>1975</t>
        </is>
      </c>
      <c r="O93" t="inlineStr">
        <is>
          <t>eng</t>
        </is>
      </c>
      <c r="P93" t="inlineStr">
        <is>
          <t>mdu</t>
        </is>
      </c>
      <c r="R93" t="inlineStr">
        <is>
          <t xml:space="preserve">R  </t>
        </is>
      </c>
      <c r="S93" t="n">
        <v>4</v>
      </c>
      <c r="T93" t="n">
        <v>4</v>
      </c>
      <c r="U93" t="inlineStr">
        <is>
          <t>1998-01-31</t>
        </is>
      </c>
      <c r="V93" t="inlineStr">
        <is>
          <t>1998-01-31</t>
        </is>
      </c>
      <c r="W93" t="inlineStr">
        <is>
          <t>1990-02-22</t>
        </is>
      </c>
      <c r="X93" t="inlineStr">
        <is>
          <t>1990-02-22</t>
        </is>
      </c>
      <c r="Y93" t="n">
        <v>727</v>
      </c>
      <c r="Z93" t="n">
        <v>633</v>
      </c>
      <c r="AA93" t="n">
        <v>672</v>
      </c>
      <c r="AB93" t="n">
        <v>5</v>
      </c>
      <c r="AC93" t="n">
        <v>5</v>
      </c>
      <c r="AD93" t="n">
        <v>24</v>
      </c>
      <c r="AE93" t="n">
        <v>25</v>
      </c>
      <c r="AF93" t="n">
        <v>9</v>
      </c>
      <c r="AG93" t="n">
        <v>9</v>
      </c>
      <c r="AH93" t="n">
        <v>3</v>
      </c>
      <c r="AI93" t="n">
        <v>4</v>
      </c>
      <c r="AJ93" t="n">
        <v>13</v>
      </c>
      <c r="AK93" t="n">
        <v>14</v>
      </c>
      <c r="AL93" t="n">
        <v>4</v>
      </c>
      <c r="AM93" t="n">
        <v>4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HYPERLINK("http://catalog.hathitrust.org/Record/004415952","HathiTrust Record")</f>
        <v/>
      </c>
      <c r="AS93">
        <f>HYPERLINK("https://creighton-primo.hosted.exlibrisgroup.com/primo-explore/search?tab=default_tab&amp;search_scope=EVERYTHING&amp;vid=01CRU&amp;lang=en_US&amp;offset=0&amp;query=any,contains,991003848719702656","Catalog Record")</f>
        <v/>
      </c>
      <c r="AT93">
        <f>HYPERLINK("http://www.worldcat.org/oclc/1636441","WorldCat Record")</f>
        <v/>
      </c>
    </row>
    <row r="94">
      <c r="A94" t="inlineStr">
        <is>
          <t>No</t>
        </is>
      </c>
      <c r="B94" t="inlineStr">
        <is>
          <t>R703 .L66 1976</t>
        </is>
      </c>
      <c r="C94" t="inlineStr">
        <is>
          <t>0                      R  0703000L  66          1976</t>
        </is>
      </c>
      <c r="D94" t="inlineStr">
        <is>
          <t>Famous flaws / Alice Loomer.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Loomer, Alice.</t>
        </is>
      </c>
      <c r="L94" t="inlineStr">
        <is>
          <t>New York : Macmillan, c1976.</t>
        </is>
      </c>
      <c r="M94" t="inlineStr">
        <is>
          <t>1976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R  </t>
        </is>
      </c>
      <c r="S94" t="n">
        <v>0</v>
      </c>
      <c r="T94" t="n">
        <v>0</v>
      </c>
      <c r="U94" t="inlineStr">
        <is>
          <t>2005-09-16</t>
        </is>
      </c>
      <c r="V94" t="inlineStr">
        <is>
          <t>2005-09-16</t>
        </is>
      </c>
      <c r="W94" t="inlineStr">
        <is>
          <t>1993-03-08</t>
        </is>
      </c>
      <c r="X94" t="inlineStr">
        <is>
          <t>1993-03-08</t>
        </is>
      </c>
      <c r="Y94" t="n">
        <v>133</v>
      </c>
      <c r="Z94" t="n">
        <v>128</v>
      </c>
      <c r="AA94" t="n">
        <v>128</v>
      </c>
      <c r="AB94" t="n">
        <v>1</v>
      </c>
      <c r="AC94" t="n">
        <v>1</v>
      </c>
      <c r="AD94" t="n">
        <v>1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1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HYPERLINK("https://creighton-primo.hosted.exlibrisgroup.com/primo-explore/search?tab=default_tab&amp;search_scope=EVERYTHING&amp;vid=01CRU&amp;lang=en_US&amp;offset=0&amp;query=any,contains,991004019379702656","Catalog Record")</f>
        <v/>
      </c>
      <c r="AT94">
        <f>HYPERLINK("http://www.worldcat.org/oclc/2119512","WorldCat Record")</f>
        <v/>
      </c>
    </row>
    <row r="95">
      <c r="A95" t="inlineStr">
        <is>
          <t>No</t>
        </is>
      </c>
      <c r="B95" t="inlineStr">
        <is>
          <t>R703 .L96 1991</t>
        </is>
      </c>
      <c r="C95" t="inlineStr">
        <is>
          <t>0                      R  0703000L  96          1991</t>
        </is>
      </c>
      <c r="D95" t="inlineStr">
        <is>
          <t>What did I die of? : the deaths of Parnell, Wilde, Synge, and other literary pathologies / J.B. Lyons.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Lyons, J. B. (John Benignus)</t>
        </is>
      </c>
      <c r="L95" t="inlineStr">
        <is>
          <t>Dublin : Lilliput Press, 1991.</t>
        </is>
      </c>
      <c r="M95" t="inlineStr">
        <is>
          <t>1991</t>
        </is>
      </c>
      <c r="O95" t="inlineStr">
        <is>
          <t>eng</t>
        </is>
      </c>
      <c r="P95" t="inlineStr">
        <is>
          <t xml:space="preserve">ie </t>
        </is>
      </c>
      <c r="R95" t="inlineStr">
        <is>
          <t xml:space="preserve">R  </t>
        </is>
      </c>
      <c r="S95" t="n">
        <v>2</v>
      </c>
      <c r="T95" t="n">
        <v>2</v>
      </c>
      <c r="U95" t="inlineStr">
        <is>
          <t>2004-11-22</t>
        </is>
      </c>
      <c r="V95" t="inlineStr">
        <is>
          <t>2004-11-22</t>
        </is>
      </c>
      <c r="W95" t="inlineStr">
        <is>
          <t>2004-11-22</t>
        </is>
      </c>
      <c r="X95" t="inlineStr">
        <is>
          <t>2004-11-22</t>
        </is>
      </c>
      <c r="Y95" t="n">
        <v>60</v>
      </c>
      <c r="Z95" t="n">
        <v>35</v>
      </c>
      <c r="AA95" t="n">
        <v>35</v>
      </c>
      <c r="AB95" t="n">
        <v>1</v>
      </c>
      <c r="AC95" t="n">
        <v>1</v>
      </c>
      <c r="AD95" t="n">
        <v>3</v>
      </c>
      <c r="AE95" t="n">
        <v>3</v>
      </c>
      <c r="AF95" t="n">
        <v>1</v>
      </c>
      <c r="AG95" t="n">
        <v>1</v>
      </c>
      <c r="AH95" t="n">
        <v>1</v>
      </c>
      <c r="AI95" t="n">
        <v>1</v>
      </c>
      <c r="AJ95" t="n">
        <v>2</v>
      </c>
      <c r="AK95" t="n">
        <v>2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HYPERLINK("https://creighton-primo.hosted.exlibrisgroup.com/primo-explore/search?tab=default_tab&amp;search_scope=EVERYTHING&amp;vid=01CRU&amp;lang=en_US&amp;offset=0&amp;query=any,contains,991004415739702656","Catalog Record")</f>
        <v/>
      </c>
      <c r="AT95">
        <f>HYPERLINK("http://www.worldcat.org/oclc/25361968","WorldCat Record")</f>
        <v/>
      </c>
    </row>
    <row r="96">
      <c r="A96" t="inlineStr">
        <is>
          <t>No</t>
        </is>
      </c>
      <c r="B96" t="inlineStr">
        <is>
          <t>R705 .G647 1997</t>
        </is>
      </c>
      <c r="C96" t="inlineStr">
        <is>
          <t>0                      R  0705000G  647         1997</t>
        </is>
      </c>
      <c r="D96" t="inlineStr">
        <is>
          <t>An alarming history of famous and difficult! patients : amusing medical anecdotes from Typhoid Mary to FDR / Richard Gordon.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Gordon, Richard, 1921-2017.</t>
        </is>
      </c>
      <c r="L96" t="inlineStr">
        <is>
          <t>New York : St. Martin's Press, 1997.</t>
        </is>
      </c>
      <c r="M96" t="inlineStr">
        <is>
          <t>1997</t>
        </is>
      </c>
      <c r="N96" t="inlineStr">
        <is>
          <t>1st ed.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R  </t>
        </is>
      </c>
      <c r="S96" t="n">
        <v>5</v>
      </c>
      <c r="T96" t="n">
        <v>5</v>
      </c>
      <c r="U96" t="inlineStr">
        <is>
          <t>1998-04-15</t>
        </is>
      </c>
      <c r="V96" t="inlineStr">
        <is>
          <t>1998-04-15</t>
        </is>
      </c>
      <c r="W96" t="inlineStr">
        <is>
          <t>1997-07-02</t>
        </is>
      </c>
      <c r="X96" t="inlineStr">
        <is>
          <t>1997-07-02</t>
        </is>
      </c>
      <c r="Y96" t="n">
        <v>251</v>
      </c>
      <c r="Z96" t="n">
        <v>230</v>
      </c>
      <c r="AA96" t="n">
        <v>235</v>
      </c>
      <c r="AB96" t="n">
        <v>4</v>
      </c>
      <c r="AC96" t="n">
        <v>4</v>
      </c>
      <c r="AD96" t="n">
        <v>3</v>
      </c>
      <c r="AE96" t="n">
        <v>3</v>
      </c>
      <c r="AF96" t="n">
        <v>1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HYPERLINK("https://creighton-primo.hosted.exlibrisgroup.com/primo-explore/search?tab=default_tab&amp;search_scope=EVERYTHING&amp;vid=01CRU&amp;lang=en_US&amp;offset=0&amp;query=any,contains,991002719069702656","Catalog Record")</f>
        <v/>
      </c>
      <c r="AT96">
        <f>HYPERLINK("http://www.worldcat.org/oclc/35650958","WorldCat Record")</f>
        <v/>
      </c>
    </row>
    <row r="97">
      <c r="A97" t="inlineStr">
        <is>
          <t>No</t>
        </is>
      </c>
      <c r="B97" t="inlineStr">
        <is>
          <t>R722 .S43</t>
        </is>
      </c>
      <c r="C97" t="inlineStr">
        <is>
          <t>0                      R  0722000S  43</t>
        </is>
      </c>
      <c r="D97" t="inlineStr">
        <is>
          <t>Burma surgeon [by] Gordon Seagrave...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Seagrave, Gordon Stifler, 1897-1965.</t>
        </is>
      </c>
      <c r="L97" t="inlineStr">
        <is>
          <t>New York, W.W. Norton and Company, inc. [1943]</t>
        </is>
      </c>
      <c r="M97" t="inlineStr">
        <is>
          <t>1943</t>
        </is>
      </c>
      <c r="O97" t="inlineStr">
        <is>
          <t>eng</t>
        </is>
      </c>
      <c r="P97" t="inlineStr">
        <is>
          <t>___</t>
        </is>
      </c>
      <c r="R97" t="inlineStr">
        <is>
          <t xml:space="preserve">R  </t>
        </is>
      </c>
      <c r="S97" t="n">
        <v>1</v>
      </c>
      <c r="T97" t="n">
        <v>1</v>
      </c>
      <c r="U97" t="inlineStr">
        <is>
          <t>2001-09-30</t>
        </is>
      </c>
      <c r="V97" t="inlineStr">
        <is>
          <t>2001-09-30</t>
        </is>
      </c>
      <c r="W97" t="inlineStr">
        <is>
          <t>1993-03-08</t>
        </is>
      </c>
      <c r="X97" t="inlineStr">
        <is>
          <t>1993-03-08</t>
        </is>
      </c>
      <c r="Y97" t="n">
        <v>910</v>
      </c>
      <c r="Z97" t="n">
        <v>838</v>
      </c>
      <c r="AA97" t="n">
        <v>972</v>
      </c>
      <c r="AB97" t="n">
        <v>10</v>
      </c>
      <c r="AC97" t="n">
        <v>10</v>
      </c>
      <c r="AD97" t="n">
        <v>27</v>
      </c>
      <c r="AE97" t="n">
        <v>28</v>
      </c>
      <c r="AF97" t="n">
        <v>9</v>
      </c>
      <c r="AG97" t="n">
        <v>10</v>
      </c>
      <c r="AH97" t="n">
        <v>4</v>
      </c>
      <c r="AI97" t="n">
        <v>5</v>
      </c>
      <c r="AJ97" t="n">
        <v>10</v>
      </c>
      <c r="AK97" t="n">
        <v>10</v>
      </c>
      <c r="AL97" t="n">
        <v>7</v>
      </c>
      <c r="AM97" t="n">
        <v>7</v>
      </c>
      <c r="AN97" t="n">
        <v>1</v>
      </c>
      <c r="AO97" t="n">
        <v>1</v>
      </c>
      <c r="AP97" t="inlineStr">
        <is>
          <t>No</t>
        </is>
      </c>
      <c r="AQ97" t="inlineStr">
        <is>
          <t>Yes</t>
        </is>
      </c>
      <c r="AR97">
        <f>HYPERLINK("http://catalog.hathitrust.org/Record/001557800","HathiTrust Record")</f>
        <v/>
      </c>
      <c r="AS97">
        <f>HYPERLINK("https://creighton-primo.hosted.exlibrisgroup.com/primo-explore/search?tab=default_tab&amp;search_scope=EVERYTHING&amp;vid=01CRU&amp;lang=en_US&amp;offset=0&amp;query=any,contains,991001783209702656","Catalog Record")</f>
        <v/>
      </c>
      <c r="AT97">
        <f>HYPERLINK("http://www.worldcat.org/oclc/597444","WorldCat Record")</f>
        <v/>
      </c>
    </row>
    <row r="98">
      <c r="A98" t="inlineStr">
        <is>
          <t>No</t>
        </is>
      </c>
      <c r="B98" t="inlineStr">
        <is>
          <t>R722.D65 D65</t>
        </is>
      </c>
      <c r="C98" t="inlineStr">
        <is>
          <t>0                      R  0722000D  65                 D  65</t>
        </is>
      </c>
      <c r="D98" t="inlineStr">
        <is>
          <t>Promises to keep; the life of Doctor Thomas A. Dooley, by Agnes W. Dooley.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Dooley, Agnes W. (Agnes Wise), -1964.</t>
        </is>
      </c>
      <c r="L98" t="inlineStr">
        <is>
          <t>New York, Farrar, Straus [1962]</t>
        </is>
      </c>
      <c r="M98" t="inlineStr">
        <is>
          <t>1962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R  </t>
        </is>
      </c>
      <c r="S98" t="n">
        <v>3</v>
      </c>
      <c r="T98" t="n">
        <v>3</v>
      </c>
      <c r="U98" t="inlineStr">
        <is>
          <t>2001-09-30</t>
        </is>
      </c>
      <c r="V98" t="inlineStr">
        <is>
          <t>2001-09-30</t>
        </is>
      </c>
      <c r="W98" t="inlineStr">
        <is>
          <t>1997-08-07</t>
        </is>
      </c>
      <c r="X98" t="inlineStr">
        <is>
          <t>1997-08-07</t>
        </is>
      </c>
      <c r="Y98" t="n">
        <v>952</v>
      </c>
      <c r="Z98" t="n">
        <v>930</v>
      </c>
      <c r="AA98" t="n">
        <v>973</v>
      </c>
      <c r="AB98" t="n">
        <v>9</v>
      </c>
      <c r="AC98" t="n">
        <v>9</v>
      </c>
      <c r="AD98" t="n">
        <v>27</v>
      </c>
      <c r="AE98" t="n">
        <v>29</v>
      </c>
      <c r="AF98" t="n">
        <v>11</v>
      </c>
      <c r="AG98" t="n">
        <v>12</v>
      </c>
      <c r="AH98" t="n">
        <v>5</v>
      </c>
      <c r="AI98" t="n">
        <v>5</v>
      </c>
      <c r="AJ98" t="n">
        <v>17</v>
      </c>
      <c r="AK98" t="n">
        <v>19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HYPERLINK("https://creighton-primo.hosted.exlibrisgroup.com/primo-explore/search?tab=default_tab&amp;search_scope=EVERYTHING&amp;vid=01CRU&amp;lang=en_US&amp;offset=0&amp;query=any,contains,991002481369702656","Catalog Record")</f>
        <v/>
      </c>
      <c r="AT98">
        <f>HYPERLINK("http://www.worldcat.org/oclc/359833","WorldCat Record")</f>
        <v/>
      </c>
    </row>
    <row r="99">
      <c r="A99" t="inlineStr">
        <is>
          <t>No</t>
        </is>
      </c>
      <c r="B99" t="inlineStr">
        <is>
          <t>R723 .B68 1980</t>
        </is>
      </c>
      <c r="C99" t="inlineStr">
        <is>
          <t>0                      R  0723000B  68          1980</t>
        </is>
      </c>
      <c r="D99" t="inlineStr">
        <is>
          <t>Placebos and the philosophy of medicine : clinical, conceptual, and ethical issues / Howard Brody.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Brody, Howard.</t>
        </is>
      </c>
      <c r="L99" t="inlineStr">
        <is>
          <t>Chicago : University of Chicago Press, 1980.</t>
        </is>
      </c>
      <c r="M99" t="inlineStr">
        <is>
          <t>1980</t>
        </is>
      </c>
      <c r="O99" t="inlineStr">
        <is>
          <t>eng</t>
        </is>
      </c>
      <c r="P99" t="inlineStr">
        <is>
          <t>ilu</t>
        </is>
      </c>
      <c r="R99" t="inlineStr">
        <is>
          <t xml:space="preserve">R  </t>
        </is>
      </c>
      <c r="S99" t="n">
        <v>8</v>
      </c>
      <c r="T99" t="n">
        <v>8</v>
      </c>
      <c r="U99" t="inlineStr">
        <is>
          <t>2006-02-21</t>
        </is>
      </c>
      <c r="V99" t="inlineStr">
        <is>
          <t>2006-02-21</t>
        </is>
      </c>
      <c r="W99" t="inlineStr">
        <is>
          <t>1993-03-08</t>
        </is>
      </c>
      <c r="X99" t="inlineStr">
        <is>
          <t>1993-03-08</t>
        </is>
      </c>
      <c r="Y99" t="n">
        <v>443</v>
      </c>
      <c r="Z99" t="n">
        <v>374</v>
      </c>
      <c r="AA99" t="n">
        <v>379</v>
      </c>
      <c r="AB99" t="n">
        <v>2</v>
      </c>
      <c r="AC99" t="n">
        <v>2</v>
      </c>
      <c r="AD99" t="n">
        <v>18</v>
      </c>
      <c r="AE99" t="n">
        <v>18</v>
      </c>
      <c r="AF99" t="n">
        <v>4</v>
      </c>
      <c r="AG99" t="n">
        <v>4</v>
      </c>
      <c r="AH99" t="n">
        <v>5</v>
      </c>
      <c r="AI99" t="n">
        <v>5</v>
      </c>
      <c r="AJ99" t="n">
        <v>12</v>
      </c>
      <c r="AK99" t="n">
        <v>12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HYPERLINK("https://creighton-primo.hosted.exlibrisgroup.com/primo-explore/search?tab=default_tab&amp;search_scope=EVERYTHING&amp;vid=01CRU&amp;lang=en_US&amp;offset=0&amp;query=any,contains,991004808569702656","Catalog Record")</f>
        <v/>
      </c>
      <c r="AT99">
        <f>HYPERLINK("http://www.worldcat.org/oclc/5264518","WorldCat Record")</f>
        <v/>
      </c>
    </row>
    <row r="100">
      <c r="A100" t="inlineStr">
        <is>
          <t>No</t>
        </is>
      </c>
      <c r="B100" t="inlineStr">
        <is>
          <t>R723 .C428 1983</t>
        </is>
      </c>
      <c r="C100" t="inlineStr">
        <is>
          <t>0                      R  0723000C  428         1983</t>
        </is>
      </c>
      <c r="D100" t="inlineStr">
        <is>
          <t>Descartes' medical philosophy : the organic solution to the mind-body problem / Richard B. Carter.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Carter, Richard B. (Richard Burnett), 1931-</t>
        </is>
      </c>
      <c r="L100" t="inlineStr">
        <is>
          <t>Baltimore : Johns Hopkins University Press, c1983.</t>
        </is>
      </c>
      <c r="M100" t="inlineStr">
        <is>
          <t>1983</t>
        </is>
      </c>
      <c r="O100" t="inlineStr">
        <is>
          <t>eng</t>
        </is>
      </c>
      <c r="P100" t="inlineStr">
        <is>
          <t>mdu</t>
        </is>
      </c>
      <c r="R100" t="inlineStr">
        <is>
          <t xml:space="preserve">R  </t>
        </is>
      </c>
      <c r="S100" t="n">
        <v>5</v>
      </c>
      <c r="T100" t="n">
        <v>5</v>
      </c>
      <c r="U100" t="inlineStr">
        <is>
          <t>2003-12-14</t>
        </is>
      </c>
      <c r="V100" t="inlineStr">
        <is>
          <t>2003-12-14</t>
        </is>
      </c>
      <c r="W100" t="inlineStr">
        <is>
          <t>1993-03-08</t>
        </is>
      </c>
      <c r="X100" t="inlineStr">
        <is>
          <t>1993-03-08</t>
        </is>
      </c>
      <c r="Y100" t="n">
        <v>376</v>
      </c>
      <c r="Z100" t="n">
        <v>294</v>
      </c>
      <c r="AA100" t="n">
        <v>295</v>
      </c>
      <c r="AB100" t="n">
        <v>2</v>
      </c>
      <c r="AC100" t="n">
        <v>2</v>
      </c>
      <c r="AD100" t="n">
        <v>16</v>
      </c>
      <c r="AE100" t="n">
        <v>16</v>
      </c>
      <c r="AF100" t="n">
        <v>2</v>
      </c>
      <c r="AG100" t="n">
        <v>2</v>
      </c>
      <c r="AH100" t="n">
        <v>6</v>
      </c>
      <c r="AI100" t="n">
        <v>6</v>
      </c>
      <c r="AJ100" t="n">
        <v>12</v>
      </c>
      <c r="AK100" t="n">
        <v>12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HYPERLINK("http://catalog.hathitrust.org/Record/007473182","HathiTrust Record")</f>
        <v/>
      </c>
      <c r="AS100">
        <f>HYPERLINK("https://creighton-primo.hosted.exlibrisgroup.com/primo-explore/search?tab=default_tab&amp;search_scope=EVERYTHING&amp;vid=01CRU&amp;lang=en_US&amp;offset=0&amp;query=any,contains,991000063959702656","Catalog Record")</f>
        <v/>
      </c>
      <c r="AT100">
        <f>HYPERLINK("http://www.worldcat.org/oclc/8762377","WorldCat Record")</f>
        <v/>
      </c>
    </row>
    <row r="101">
      <c r="A101" t="inlineStr">
        <is>
          <t>No</t>
        </is>
      </c>
      <c r="B101" t="inlineStr">
        <is>
          <t>R723 .C4283 1984</t>
        </is>
      </c>
      <c r="C101" t="inlineStr">
        <is>
          <t>0                      R  0723000C  4283        1984</t>
        </is>
      </c>
      <c r="D101" t="inlineStr">
        <is>
          <t>The place of the humanities in medicine / Eric J. Cassell.</t>
        </is>
      </c>
      <c r="F101" t="inlineStr">
        <is>
          <t>No</t>
        </is>
      </c>
      <c r="G101" t="inlineStr">
        <is>
          <t>1</t>
        </is>
      </c>
      <c r="H101" t="inlineStr">
        <is>
          <t>Yes</t>
        </is>
      </c>
      <c r="I101" t="inlineStr">
        <is>
          <t>No</t>
        </is>
      </c>
      <c r="J101" t="inlineStr">
        <is>
          <t>0</t>
        </is>
      </c>
      <c r="K101" t="inlineStr">
        <is>
          <t>Cassell, Eric J., 1928-</t>
        </is>
      </c>
      <c r="L101" t="inlineStr">
        <is>
          <t>Hastings-on-Hudson, N.Y. : Hastings Center, Institute of Society, Ethics, and Life Sciences, c1984.</t>
        </is>
      </c>
      <c r="M101" t="inlineStr">
        <is>
          <t>1984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R  </t>
        </is>
      </c>
      <c r="S101" t="n">
        <v>3</v>
      </c>
      <c r="T101" t="n">
        <v>5</v>
      </c>
      <c r="U101" t="inlineStr">
        <is>
          <t>1996-07-25</t>
        </is>
      </c>
      <c r="V101" t="inlineStr">
        <is>
          <t>1996-07-25</t>
        </is>
      </c>
      <c r="W101" t="inlineStr">
        <is>
          <t>1993-03-08</t>
        </is>
      </c>
      <c r="X101" t="inlineStr">
        <is>
          <t>1993-03-08</t>
        </is>
      </c>
      <c r="Y101" t="n">
        <v>217</v>
      </c>
      <c r="Z101" t="n">
        <v>195</v>
      </c>
      <c r="AA101" t="n">
        <v>199</v>
      </c>
      <c r="AB101" t="n">
        <v>2</v>
      </c>
      <c r="AC101" t="n">
        <v>2</v>
      </c>
      <c r="AD101" t="n">
        <v>10</v>
      </c>
      <c r="AE101" t="n">
        <v>10</v>
      </c>
      <c r="AF101" t="n">
        <v>3</v>
      </c>
      <c r="AG101" t="n">
        <v>3</v>
      </c>
      <c r="AH101" t="n">
        <v>1</v>
      </c>
      <c r="AI101" t="n">
        <v>1</v>
      </c>
      <c r="AJ101" t="n">
        <v>6</v>
      </c>
      <c r="AK101" t="n">
        <v>6</v>
      </c>
      <c r="AL101" t="n">
        <v>0</v>
      </c>
      <c r="AM101" t="n">
        <v>0</v>
      </c>
      <c r="AN101" t="n">
        <v>3</v>
      </c>
      <c r="AO101" t="n">
        <v>3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HYPERLINK("http://catalog.hathitrust.org/Record/000456801","HathiTrust Record")</f>
        <v/>
      </c>
      <c r="AS101">
        <f>HYPERLINK("https://creighton-primo.hosted.exlibrisgroup.com/primo-explore/search?tab=default_tab&amp;search_scope=EVERYTHING&amp;vid=01CRU&amp;lang=en_US&amp;offset=0&amp;query=any,contains,991001805859702656","Catalog Record")</f>
        <v/>
      </c>
      <c r="AT101">
        <f>HYPERLINK("http://www.worldcat.org/oclc/10780701","WorldCat Record")</f>
        <v/>
      </c>
    </row>
    <row r="102">
      <c r="A102" t="inlineStr">
        <is>
          <t>No</t>
        </is>
      </c>
      <c r="B102" t="inlineStr">
        <is>
          <t>R723 .D77 1980</t>
        </is>
      </c>
      <c r="C102" t="inlineStr">
        <is>
          <t>0                      R  0723000D  77          1980</t>
        </is>
      </c>
      <c r="D102" t="inlineStr">
        <is>
          <t>Man adapting / by René Dubos ; with a new chapter by the author.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Yes</t>
        </is>
      </c>
      <c r="J102" t="inlineStr">
        <is>
          <t>0</t>
        </is>
      </c>
      <c r="K102" t="inlineStr">
        <is>
          <t>Dubos, René J. (René Jules), 1901-1982.</t>
        </is>
      </c>
      <c r="L102" t="inlineStr">
        <is>
          <t>New Haven : Yale University Press, c1980.</t>
        </is>
      </c>
      <c r="M102" t="inlineStr">
        <is>
          <t>1980</t>
        </is>
      </c>
      <c r="O102" t="inlineStr">
        <is>
          <t>eng</t>
        </is>
      </c>
      <c r="P102" t="inlineStr">
        <is>
          <t>ctu</t>
        </is>
      </c>
      <c r="Q102" t="inlineStr">
        <is>
          <t>Yale University, Mrs. Hepsa Ely Silliman memorial lectures</t>
        </is>
      </c>
      <c r="R102" t="inlineStr">
        <is>
          <t xml:space="preserve">R  </t>
        </is>
      </c>
      <c r="S102" t="n">
        <v>5</v>
      </c>
      <c r="T102" t="n">
        <v>5</v>
      </c>
      <c r="U102" t="inlineStr">
        <is>
          <t>2008-02-24</t>
        </is>
      </c>
      <c r="V102" t="inlineStr">
        <is>
          <t>2008-02-24</t>
        </is>
      </c>
      <c r="W102" t="inlineStr">
        <is>
          <t>1993-03-08</t>
        </is>
      </c>
      <c r="X102" t="inlineStr">
        <is>
          <t>1993-03-08</t>
        </is>
      </c>
      <c r="Y102" t="n">
        <v>267</v>
      </c>
      <c r="Z102" t="n">
        <v>195</v>
      </c>
      <c r="AA102" t="n">
        <v>1010</v>
      </c>
      <c r="AB102" t="n">
        <v>1</v>
      </c>
      <c r="AC102" t="n">
        <v>8</v>
      </c>
      <c r="AD102" t="n">
        <v>7</v>
      </c>
      <c r="AE102" t="n">
        <v>40</v>
      </c>
      <c r="AF102" t="n">
        <v>5</v>
      </c>
      <c r="AG102" t="n">
        <v>17</v>
      </c>
      <c r="AH102" t="n">
        <v>2</v>
      </c>
      <c r="AI102" t="n">
        <v>6</v>
      </c>
      <c r="AJ102" t="n">
        <v>2</v>
      </c>
      <c r="AK102" t="n">
        <v>18</v>
      </c>
      <c r="AL102" t="n">
        <v>0</v>
      </c>
      <c r="AM102" t="n">
        <v>6</v>
      </c>
      <c r="AN102" t="n">
        <v>0</v>
      </c>
      <c r="AO102" t="n">
        <v>1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HYPERLINK("http://catalog.hathitrust.org/Record/000710832","HathiTrust Record")</f>
        <v/>
      </c>
      <c r="AS102">
        <f>HYPERLINK("https://creighton-primo.hosted.exlibrisgroup.com/primo-explore/search?tab=default_tab&amp;search_scope=EVERYTHING&amp;vid=01CRU&amp;lang=en_US&amp;offset=0&amp;query=any,contains,991004961419702656","Catalog Record")</f>
        <v/>
      </c>
      <c r="AT102">
        <f>HYPERLINK("http://www.worldcat.org/oclc/6305228","WorldCat Record")</f>
        <v/>
      </c>
    </row>
    <row r="103">
      <c r="A103" t="inlineStr">
        <is>
          <t>No</t>
        </is>
      </c>
      <c r="B103" t="inlineStr">
        <is>
          <t>R723 .E92 1985</t>
        </is>
      </c>
      <c r="C103" t="inlineStr">
        <is>
          <t>0                      R  0723000E  92          1985</t>
        </is>
      </c>
      <c r="D103" t="inlineStr">
        <is>
          <t>Examining holistic medicine / edited by Douglas Stalker and Clark Glymour.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Buffalo, N.Y. : Prometheus Books, 1985.</t>
        </is>
      </c>
      <c r="M103" t="inlineStr">
        <is>
          <t>1985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R  </t>
        </is>
      </c>
      <c r="S103" t="n">
        <v>5</v>
      </c>
      <c r="T103" t="n">
        <v>5</v>
      </c>
      <c r="U103" t="inlineStr">
        <is>
          <t>2000-04-17</t>
        </is>
      </c>
      <c r="V103" t="inlineStr">
        <is>
          <t>2000-04-17</t>
        </is>
      </c>
      <c r="W103" t="inlineStr">
        <is>
          <t>1993-03-08</t>
        </is>
      </c>
      <c r="X103" t="inlineStr">
        <is>
          <t>1993-03-08</t>
        </is>
      </c>
      <c r="Y103" t="n">
        <v>525</v>
      </c>
      <c r="Z103" t="n">
        <v>471</v>
      </c>
      <c r="AA103" t="n">
        <v>536</v>
      </c>
      <c r="AB103" t="n">
        <v>4</v>
      </c>
      <c r="AC103" t="n">
        <v>4</v>
      </c>
      <c r="AD103" t="n">
        <v>17</v>
      </c>
      <c r="AE103" t="n">
        <v>17</v>
      </c>
      <c r="AF103" t="n">
        <v>6</v>
      </c>
      <c r="AG103" t="n">
        <v>6</v>
      </c>
      <c r="AH103" t="n">
        <v>4</v>
      </c>
      <c r="AI103" t="n">
        <v>4</v>
      </c>
      <c r="AJ103" t="n">
        <v>9</v>
      </c>
      <c r="AK103" t="n">
        <v>9</v>
      </c>
      <c r="AL103" t="n">
        <v>2</v>
      </c>
      <c r="AM103" t="n">
        <v>2</v>
      </c>
      <c r="AN103" t="n">
        <v>1</v>
      </c>
      <c r="AO103" t="n">
        <v>1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HYPERLINK("http://catalog.hathitrust.org/Record/000631876","HathiTrust Record")</f>
        <v/>
      </c>
      <c r="AS103">
        <f>HYPERLINK("https://creighton-primo.hosted.exlibrisgroup.com/primo-explore/search?tab=default_tab&amp;search_scope=EVERYTHING&amp;vid=01CRU&amp;lang=en_US&amp;offset=0&amp;query=any,contains,991000789089702656","Catalog Record")</f>
        <v/>
      </c>
      <c r="AT103">
        <f>HYPERLINK("http://www.worldcat.org/oclc/13132181","WorldCat Record")</f>
        <v/>
      </c>
    </row>
    <row r="104">
      <c r="A104" t="inlineStr">
        <is>
          <t>No</t>
        </is>
      </c>
      <c r="B104" t="inlineStr">
        <is>
          <t>R723 .M36 1990</t>
        </is>
      </c>
      <c r="C104" t="inlineStr">
        <is>
          <t>0                      R  0723000M  36          1990</t>
        </is>
      </c>
      <c r="D104" t="inlineStr">
        <is>
          <t>Medical choices, medical chances : how patients, families, and physicians can cope with uncertainty / Harold J. Bursztajn ... [et al.] ; with a new preface by Hilary Putnam.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L104" t="inlineStr">
        <is>
          <t>New York : Routledge, 1990.</t>
        </is>
      </c>
      <c r="M104" t="inlineStr">
        <is>
          <t>1990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R  </t>
        </is>
      </c>
      <c r="S104" t="n">
        <v>11</v>
      </c>
      <c r="T104" t="n">
        <v>11</v>
      </c>
      <c r="U104" t="inlineStr">
        <is>
          <t>2008-11-22</t>
        </is>
      </c>
      <c r="V104" t="inlineStr">
        <is>
          <t>2008-11-22</t>
        </is>
      </c>
      <c r="W104" t="inlineStr">
        <is>
          <t>1991-04-29</t>
        </is>
      </c>
      <c r="X104" t="inlineStr">
        <is>
          <t>1991-04-29</t>
        </is>
      </c>
      <c r="Y104" t="n">
        <v>169</v>
      </c>
      <c r="Z104" t="n">
        <v>117</v>
      </c>
      <c r="AA104" t="n">
        <v>481</v>
      </c>
      <c r="AB104" t="n">
        <v>1</v>
      </c>
      <c r="AC104" t="n">
        <v>4</v>
      </c>
      <c r="AD104" t="n">
        <v>5</v>
      </c>
      <c r="AE104" t="n">
        <v>15</v>
      </c>
      <c r="AF104" t="n">
        <v>2</v>
      </c>
      <c r="AG104" t="n">
        <v>5</v>
      </c>
      <c r="AH104" t="n">
        <v>0</v>
      </c>
      <c r="AI104" t="n">
        <v>1</v>
      </c>
      <c r="AJ104" t="n">
        <v>4</v>
      </c>
      <c r="AK104" t="n">
        <v>11</v>
      </c>
      <c r="AL104" t="n">
        <v>0</v>
      </c>
      <c r="AM104" t="n">
        <v>1</v>
      </c>
      <c r="AN104" t="n">
        <v>0</v>
      </c>
      <c r="AO104" t="n">
        <v>1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HYPERLINK("https://creighton-primo.hosted.exlibrisgroup.com/primo-explore/search?tab=default_tab&amp;search_scope=EVERYTHING&amp;vid=01CRU&amp;lang=en_US&amp;offset=0&amp;query=any,contains,991001625689702656","Catalog Record")</f>
        <v/>
      </c>
      <c r="AT104">
        <f>HYPERLINK("http://www.worldcat.org/oclc/20852349","WorldCat Record")</f>
        <v/>
      </c>
    </row>
    <row r="105">
      <c r="A105" t="inlineStr">
        <is>
          <t>No</t>
        </is>
      </c>
      <c r="B105" t="inlineStr">
        <is>
          <t>R723 .M617 1983</t>
        </is>
      </c>
      <c r="C105" t="inlineStr">
        <is>
          <t>0                      R  0723000M  617         1983</t>
        </is>
      </c>
      <c r="D105" t="inlineStr">
        <is>
          <t>The complete handbook of holistic health / Michael C. Moore, Lynda J. Moore.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Moore, Michael C., 1947-</t>
        </is>
      </c>
      <c r="L105" t="inlineStr">
        <is>
          <t>Englewood Cliffs, N.J. : Prentice-Hall, 1983.</t>
        </is>
      </c>
      <c r="M105" t="inlineStr">
        <is>
          <t>1983</t>
        </is>
      </c>
      <c r="O105" t="inlineStr">
        <is>
          <t>eng</t>
        </is>
      </c>
      <c r="P105" t="inlineStr">
        <is>
          <t>nju</t>
        </is>
      </c>
      <c r="R105" t="inlineStr">
        <is>
          <t xml:space="preserve">R  </t>
        </is>
      </c>
      <c r="S105" t="n">
        <v>8</v>
      </c>
      <c r="T105" t="n">
        <v>8</v>
      </c>
      <c r="U105" t="inlineStr">
        <is>
          <t>2000-10-29</t>
        </is>
      </c>
      <c r="V105" t="inlineStr">
        <is>
          <t>2000-10-29</t>
        </is>
      </c>
      <c r="W105" t="inlineStr">
        <is>
          <t>1993-03-08</t>
        </is>
      </c>
      <c r="X105" t="inlineStr">
        <is>
          <t>1993-03-08</t>
        </is>
      </c>
      <c r="Y105" t="n">
        <v>362</v>
      </c>
      <c r="Z105" t="n">
        <v>325</v>
      </c>
      <c r="AA105" t="n">
        <v>341</v>
      </c>
      <c r="AB105" t="n">
        <v>1</v>
      </c>
      <c r="AC105" t="n">
        <v>1</v>
      </c>
      <c r="AD105" t="n">
        <v>8</v>
      </c>
      <c r="AE105" t="n">
        <v>10</v>
      </c>
      <c r="AF105" t="n">
        <v>5</v>
      </c>
      <c r="AG105" t="n">
        <v>6</v>
      </c>
      <c r="AH105" t="n">
        <v>1</v>
      </c>
      <c r="AI105" t="n">
        <v>2</v>
      </c>
      <c r="AJ105" t="n">
        <v>4</v>
      </c>
      <c r="AK105" t="n">
        <v>4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HYPERLINK("http://catalog.hathitrust.org/Record/000368146","HathiTrust Record")</f>
        <v/>
      </c>
      <c r="AS105">
        <f>HYPERLINK("https://creighton-primo.hosted.exlibrisgroup.com/primo-explore/search?tab=default_tab&amp;search_scope=EVERYTHING&amp;vid=01CRU&amp;lang=en_US&amp;offset=0&amp;query=any,contains,991000047479702656","Catalog Record")</f>
        <v/>
      </c>
      <c r="AT105">
        <f>HYPERLINK("http://www.worldcat.org/oclc/8669868","WorldCat Record")</f>
        <v/>
      </c>
    </row>
    <row r="106">
      <c r="A106" t="inlineStr">
        <is>
          <t>No</t>
        </is>
      </c>
      <c r="B106" t="inlineStr">
        <is>
          <t>R723 .P38</t>
        </is>
      </c>
      <c r="C106" t="inlineStr">
        <is>
          <t>0                      R  0723000P  38</t>
        </is>
      </c>
      <c r="D106" t="inlineStr">
        <is>
          <t>Humanism and the physician / Edmund D. Pellegrino.</t>
        </is>
      </c>
      <c r="F106" t="inlineStr">
        <is>
          <t>No</t>
        </is>
      </c>
      <c r="G106" t="inlineStr">
        <is>
          <t>1</t>
        </is>
      </c>
      <c r="H106" t="inlineStr">
        <is>
          <t>Yes</t>
        </is>
      </c>
      <c r="I106" t="inlineStr">
        <is>
          <t>No</t>
        </is>
      </c>
      <c r="J106" t="inlineStr">
        <is>
          <t>0</t>
        </is>
      </c>
      <c r="K106" t="inlineStr">
        <is>
          <t>Pellegrino, Edmund D., 1920-2013.</t>
        </is>
      </c>
      <c r="L106" t="inlineStr">
        <is>
          <t>Knoxville : University of Tennessee Press, c1979.</t>
        </is>
      </c>
      <c r="M106" t="inlineStr">
        <is>
          <t>1979</t>
        </is>
      </c>
      <c r="N106" t="inlineStr">
        <is>
          <t>1st ed.</t>
        </is>
      </c>
      <c r="O106" t="inlineStr">
        <is>
          <t>eng</t>
        </is>
      </c>
      <c r="P106" t="inlineStr">
        <is>
          <t>tnu</t>
        </is>
      </c>
      <c r="R106" t="inlineStr">
        <is>
          <t xml:space="preserve">R  </t>
        </is>
      </c>
      <c r="S106" t="n">
        <v>4</v>
      </c>
      <c r="T106" t="n">
        <v>11</v>
      </c>
      <c r="U106" t="inlineStr">
        <is>
          <t>1993-06-01</t>
        </is>
      </c>
      <c r="V106" t="inlineStr">
        <is>
          <t>2006-08-06</t>
        </is>
      </c>
      <c r="W106" t="inlineStr">
        <is>
          <t>1992-04-13</t>
        </is>
      </c>
      <c r="X106" t="inlineStr">
        <is>
          <t>1992-04-13</t>
        </is>
      </c>
      <c r="Y106" t="n">
        <v>492</v>
      </c>
      <c r="Z106" t="n">
        <v>445</v>
      </c>
      <c r="AA106" t="n">
        <v>448</v>
      </c>
      <c r="AB106" t="n">
        <v>4</v>
      </c>
      <c r="AC106" t="n">
        <v>4</v>
      </c>
      <c r="AD106" t="n">
        <v>28</v>
      </c>
      <c r="AE106" t="n">
        <v>29</v>
      </c>
      <c r="AF106" t="n">
        <v>8</v>
      </c>
      <c r="AG106" t="n">
        <v>9</v>
      </c>
      <c r="AH106" t="n">
        <v>8</v>
      </c>
      <c r="AI106" t="n">
        <v>8</v>
      </c>
      <c r="AJ106" t="n">
        <v>16</v>
      </c>
      <c r="AK106" t="n">
        <v>17</v>
      </c>
      <c r="AL106" t="n">
        <v>2</v>
      </c>
      <c r="AM106" t="n">
        <v>2</v>
      </c>
      <c r="AN106" t="n">
        <v>2</v>
      </c>
      <c r="AO106" t="n">
        <v>2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HYPERLINK("https://creighton-primo.hosted.exlibrisgroup.com/primo-explore/search?tab=default_tab&amp;search_scope=EVERYTHING&amp;vid=01CRU&amp;lang=en_US&amp;offset=0&amp;query=any,contains,991001805989702656","Catalog Record")</f>
        <v/>
      </c>
      <c r="AT106">
        <f>HYPERLINK("http://www.worldcat.org/oclc/4504498","WorldCat Record")</f>
        <v/>
      </c>
    </row>
    <row r="107">
      <c r="A107" t="inlineStr">
        <is>
          <t>No</t>
        </is>
      </c>
      <c r="B107" t="inlineStr">
        <is>
          <t>R723 .P382</t>
        </is>
      </c>
      <c r="C107" t="inlineStr">
        <is>
          <t>0                      R  0723000P  382</t>
        </is>
      </c>
      <c r="D107" t="inlineStr">
        <is>
          <t>Holistic medicine : from stress to optimum health / Kenneth R. Pelletier.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Pelletier, Kenneth R.</t>
        </is>
      </c>
      <c r="L107" t="inlineStr">
        <is>
          <t>New York : Delacorte Press/S. Lawrence, c1979.</t>
        </is>
      </c>
      <c r="M107" t="inlineStr">
        <is>
          <t>1979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R  </t>
        </is>
      </c>
      <c r="S107" t="n">
        <v>10</v>
      </c>
      <c r="T107" t="n">
        <v>10</v>
      </c>
      <c r="U107" t="inlineStr">
        <is>
          <t>2000-02-13</t>
        </is>
      </c>
      <c r="V107" t="inlineStr">
        <is>
          <t>2000-02-13</t>
        </is>
      </c>
      <c r="W107" t="inlineStr">
        <is>
          <t>1992-04-08</t>
        </is>
      </c>
      <c r="X107" t="inlineStr">
        <is>
          <t>1992-04-08</t>
        </is>
      </c>
      <c r="Y107" t="n">
        <v>640</v>
      </c>
      <c r="Z107" t="n">
        <v>599</v>
      </c>
      <c r="AA107" t="n">
        <v>692</v>
      </c>
      <c r="AB107" t="n">
        <v>4</v>
      </c>
      <c r="AC107" t="n">
        <v>4</v>
      </c>
      <c r="AD107" t="n">
        <v>13</v>
      </c>
      <c r="AE107" t="n">
        <v>16</v>
      </c>
      <c r="AF107" t="n">
        <v>5</v>
      </c>
      <c r="AG107" t="n">
        <v>6</v>
      </c>
      <c r="AH107" t="n">
        <v>2</v>
      </c>
      <c r="AI107" t="n">
        <v>3</v>
      </c>
      <c r="AJ107" t="n">
        <v>5</v>
      </c>
      <c r="AK107" t="n">
        <v>6</v>
      </c>
      <c r="AL107" t="n">
        <v>3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HYPERLINK("http://catalog.hathitrust.org/Record/000691195","HathiTrust Record")</f>
        <v/>
      </c>
      <c r="AS107">
        <f>HYPERLINK("https://creighton-primo.hosted.exlibrisgroup.com/primo-explore/search?tab=default_tab&amp;search_scope=EVERYTHING&amp;vid=01CRU&amp;lang=en_US&amp;offset=0&amp;query=any,contains,991004798749702656","Catalog Record")</f>
        <v/>
      </c>
      <c r="AT107">
        <f>HYPERLINK("http://www.worldcat.org/oclc/5196904","WorldCat Record")</f>
        <v/>
      </c>
    </row>
    <row r="108">
      <c r="A108" t="inlineStr">
        <is>
          <t>No</t>
        </is>
      </c>
      <c r="B108" t="inlineStr">
        <is>
          <t>R723 .P386 2002</t>
        </is>
      </c>
      <c r="C108" t="inlineStr">
        <is>
          <t>0                      R  0723000P  386         2002</t>
        </is>
      </c>
      <c r="D108" t="inlineStr">
        <is>
          <t>Person, society, and value : towards a personalist concept of health / edited by Paulina Taboada, Kateryna Fedoryka Cuddeback, and Patricia Donohue-White.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Dordrecht ; Boston : Kluwer Academic Pub., 2002.</t>
        </is>
      </c>
      <c r="M108" t="inlineStr">
        <is>
          <t>2002</t>
        </is>
      </c>
      <c r="O108" t="inlineStr">
        <is>
          <t>eng</t>
        </is>
      </c>
      <c r="P108" t="inlineStr">
        <is>
          <t xml:space="preserve">ne </t>
        </is>
      </c>
      <c r="Q108" t="inlineStr">
        <is>
          <t>Philosophy and medicine ; v. 72</t>
        </is>
      </c>
      <c r="R108" t="inlineStr">
        <is>
          <t xml:space="preserve">R  </t>
        </is>
      </c>
      <c r="S108" t="n">
        <v>1</v>
      </c>
      <c r="T108" t="n">
        <v>1</v>
      </c>
      <c r="U108" t="inlineStr">
        <is>
          <t>2003-10-13</t>
        </is>
      </c>
      <c r="V108" t="inlineStr">
        <is>
          <t>2003-10-13</t>
        </is>
      </c>
      <c r="W108" t="inlineStr">
        <is>
          <t>2003-10-13</t>
        </is>
      </c>
      <c r="X108" t="inlineStr">
        <is>
          <t>2003-10-13</t>
        </is>
      </c>
      <c r="Y108" t="n">
        <v>173</v>
      </c>
      <c r="Z108" t="n">
        <v>135</v>
      </c>
      <c r="AA108" t="n">
        <v>151</v>
      </c>
      <c r="AB108" t="n">
        <v>1</v>
      </c>
      <c r="AC108" t="n">
        <v>1</v>
      </c>
      <c r="AD108" t="n">
        <v>17</v>
      </c>
      <c r="AE108" t="n">
        <v>19</v>
      </c>
      <c r="AF108" t="n">
        <v>6</v>
      </c>
      <c r="AG108" t="n">
        <v>8</v>
      </c>
      <c r="AH108" t="n">
        <v>7</v>
      </c>
      <c r="AI108" t="n">
        <v>8</v>
      </c>
      <c r="AJ108" t="n">
        <v>11</v>
      </c>
      <c r="AK108" t="n">
        <v>12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HYPERLINK("https://creighton-primo.hosted.exlibrisgroup.com/primo-explore/search?tab=default_tab&amp;search_scope=EVERYTHING&amp;vid=01CRU&amp;lang=en_US&amp;offset=0&amp;query=any,contains,991004148349702656","Catalog Record")</f>
        <v/>
      </c>
      <c r="AT108">
        <f>HYPERLINK("http://www.worldcat.org/oclc/49559057","WorldCat Record")</f>
        <v/>
      </c>
    </row>
    <row r="109">
      <c r="A109" t="inlineStr">
        <is>
          <t>No</t>
        </is>
      </c>
      <c r="B109" t="inlineStr">
        <is>
          <t>R723 .Y36</t>
        </is>
      </c>
      <c r="C109" t="inlineStr">
        <is>
          <t>0                      R  0723000Y  36</t>
        </is>
      </c>
      <c r="D109" t="inlineStr">
        <is>
          <t>Medicine, science, and life / by V. S. Yanovsky. --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I͡Anovskiĭ, V. S. (Vasiliĭ S.), 1906-1989.</t>
        </is>
      </c>
      <c r="L109" t="inlineStr">
        <is>
          <t>New York : Paulist Press, c1978.</t>
        </is>
      </c>
      <c r="M109" t="inlineStr">
        <is>
          <t>1978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R  </t>
        </is>
      </c>
      <c r="S109" t="n">
        <v>3</v>
      </c>
      <c r="T109" t="n">
        <v>3</v>
      </c>
      <c r="U109" t="inlineStr">
        <is>
          <t>2007-01-10</t>
        </is>
      </c>
      <c r="V109" t="inlineStr">
        <is>
          <t>2007-01-10</t>
        </is>
      </c>
      <c r="W109" t="inlineStr">
        <is>
          <t>1995-07-31</t>
        </is>
      </c>
      <c r="X109" t="inlineStr">
        <is>
          <t>1995-07-31</t>
        </is>
      </c>
      <c r="Y109" t="n">
        <v>249</v>
      </c>
      <c r="Z109" t="n">
        <v>228</v>
      </c>
      <c r="AA109" t="n">
        <v>229</v>
      </c>
      <c r="AB109" t="n">
        <v>4</v>
      </c>
      <c r="AC109" t="n">
        <v>4</v>
      </c>
      <c r="AD109" t="n">
        <v>13</v>
      </c>
      <c r="AE109" t="n">
        <v>13</v>
      </c>
      <c r="AF109" t="n">
        <v>4</v>
      </c>
      <c r="AG109" t="n">
        <v>4</v>
      </c>
      <c r="AH109" t="n">
        <v>3</v>
      </c>
      <c r="AI109" t="n">
        <v>3</v>
      </c>
      <c r="AJ109" t="n">
        <v>5</v>
      </c>
      <c r="AK109" t="n">
        <v>5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HYPERLINK("http://catalog.hathitrust.org/Record/000138901","HathiTrust Record")</f>
        <v/>
      </c>
      <c r="AS109">
        <f>HYPERLINK("https://creighton-primo.hosted.exlibrisgroup.com/primo-explore/search?tab=default_tab&amp;search_scope=EVERYTHING&amp;vid=01CRU&amp;lang=en_US&amp;offset=0&amp;query=any,contains,991004547179702656","Catalog Record")</f>
        <v/>
      </c>
      <c r="AT109">
        <f>HYPERLINK("http://www.worldcat.org/oclc/3916701","WorldCat Record")</f>
        <v/>
      </c>
    </row>
    <row r="110">
      <c r="A110" t="inlineStr">
        <is>
          <t>No</t>
        </is>
      </c>
      <c r="B110" t="inlineStr">
        <is>
          <t>R723.5 .D4 1987</t>
        </is>
      </c>
      <c r="C110" t="inlineStr">
        <is>
          <t>0                      R  0723500D  4           1987</t>
        </is>
      </c>
      <c r="D110" t="inlineStr">
        <is>
          <t>Life-death decisions in health care / Lesley F. Degner, Janet I. Beaton.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Degner, Lesley F., 1947-</t>
        </is>
      </c>
      <c r="L110" t="inlineStr">
        <is>
          <t>Washington : Hemisphere Pub. Corp., c1987.</t>
        </is>
      </c>
      <c r="M110" t="inlineStr">
        <is>
          <t>1987</t>
        </is>
      </c>
      <c r="O110" t="inlineStr">
        <is>
          <t>eng</t>
        </is>
      </c>
      <c r="P110" t="inlineStr">
        <is>
          <t>dcu</t>
        </is>
      </c>
      <c r="Q110" t="inlineStr">
        <is>
          <t>Series in death education, aging, and health care, 0275-3510</t>
        </is>
      </c>
      <c r="R110" t="inlineStr">
        <is>
          <t xml:space="preserve">R  </t>
        </is>
      </c>
      <c r="S110" t="n">
        <v>12</v>
      </c>
      <c r="T110" t="n">
        <v>12</v>
      </c>
      <c r="U110" t="inlineStr">
        <is>
          <t>2001-04-20</t>
        </is>
      </c>
      <c r="V110" t="inlineStr">
        <is>
          <t>2001-04-20</t>
        </is>
      </c>
      <c r="W110" t="inlineStr">
        <is>
          <t>1993-03-08</t>
        </is>
      </c>
      <c r="X110" t="inlineStr">
        <is>
          <t>1993-03-08</t>
        </is>
      </c>
      <c r="Y110" t="n">
        <v>382</v>
      </c>
      <c r="Z110" t="n">
        <v>325</v>
      </c>
      <c r="AA110" t="n">
        <v>327</v>
      </c>
      <c r="AB110" t="n">
        <v>2</v>
      </c>
      <c r="AC110" t="n">
        <v>2</v>
      </c>
      <c r="AD110" t="n">
        <v>17</v>
      </c>
      <c r="AE110" t="n">
        <v>17</v>
      </c>
      <c r="AF110" t="n">
        <v>7</v>
      </c>
      <c r="AG110" t="n">
        <v>7</v>
      </c>
      <c r="AH110" t="n">
        <v>5</v>
      </c>
      <c r="AI110" t="n">
        <v>5</v>
      </c>
      <c r="AJ110" t="n">
        <v>8</v>
      </c>
      <c r="AK110" t="n">
        <v>8</v>
      </c>
      <c r="AL110" t="n">
        <v>1</v>
      </c>
      <c r="AM110" t="n">
        <v>1</v>
      </c>
      <c r="AN110" t="n">
        <v>1</v>
      </c>
      <c r="AO110" t="n">
        <v>1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HYPERLINK("http://catalog.hathitrust.org/Record/000836760","HathiTrust Record")</f>
        <v/>
      </c>
      <c r="AS110">
        <f>HYPERLINK("https://creighton-primo.hosted.exlibrisgroup.com/primo-explore/search?tab=default_tab&amp;search_scope=EVERYTHING&amp;vid=01CRU&amp;lang=en_US&amp;offset=0&amp;query=any,contains,991000973479702656","Catalog Record")</f>
        <v/>
      </c>
      <c r="AT110">
        <f>HYPERLINK("http://www.worldcat.org/oclc/14967363","WorldCat Record")</f>
        <v/>
      </c>
    </row>
    <row r="111">
      <c r="A111" t="inlineStr">
        <is>
          <t>No</t>
        </is>
      </c>
      <c r="B111" t="inlineStr">
        <is>
          <t>R724 .B358 1984</t>
        </is>
      </c>
      <c r="C111" t="inlineStr">
        <is>
          <t>0                      R  0724000B  358         1984</t>
        </is>
      </c>
      <c r="D111" t="inlineStr">
        <is>
          <t>Medical ethics : the moral responsibilities of physicians / Tom L. Beauchamp, Laurence B. McCullough.</t>
        </is>
      </c>
      <c r="F111" t="inlineStr">
        <is>
          <t>No</t>
        </is>
      </c>
      <c r="G111" t="inlineStr">
        <is>
          <t>1</t>
        </is>
      </c>
      <c r="H111" t="inlineStr">
        <is>
          <t>Yes</t>
        </is>
      </c>
      <c r="I111" t="inlineStr">
        <is>
          <t>No</t>
        </is>
      </c>
      <c r="J111" t="inlineStr">
        <is>
          <t>0</t>
        </is>
      </c>
      <c r="K111" t="inlineStr">
        <is>
          <t>Beauchamp, Tom L.</t>
        </is>
      </c>
      <c r="L111" t="inlineStr">
        <is>
          <t>Englewood Cliffs, N.J. : Prentice-Hall, c1984.</t>
        </is>
      </c>
      <c r="M111" t="inlineStr">
        <is>
          <t>1984</t>
        </is>
      </c>
      <c r="O111" t="inlineStr">
        <is>
          <t>eng</t>
        </is>
      </c>
      <c r="P111" t="inlineStr">
        <is>
          <t>nju</t>
        </is>
      </c>
      <c r="Q111" t="inlineStr">
        <is>
          <t>Occupational ethics series</t>
        </is>
      </c>
      <c r="R111" t="inlineStr">
        <is>
          <t xml:space="preserve">R  </t>
        </is>
      </c>
      <c r="S111" t="n">
        <v>29</v>
      </c>
      <c r="T111" t="n">
        <v>29</v>
      </c>
      <c r="U111" t="inlineStr">
        <is>
          <t>2004-12-08</t>
        </is>
      </c>
      <c r="V111" t="inlineStr">
        <is>
          <t>2004-12-08</t>
        </is>
      </c>
      <c r="W111" t="inlineStr">
        <is>
          <t>1990-07-20</t>
        </is>
      </c>
      <c r="X111" t="inlineStr">
        <is>
          <t>1990-07-20</t>
        </is>
      </c>
      <c r="Y111" t="n">
        <v>369</v>
      </c>
      <c r="Z111" t="n">
        <v>283</v>
      </c>
      <c r="AA111" t="n">
        <v>285</v>
      </c>
      <c r="AB111" t="n">
        <v>2</v>
      </c>
      <c r="AC111" t="n">
        <v>2</v>
      </c>
      <c r="AD111" t="n">
        <v>14</v>
      </c>
      <c r="AE111" t="n">
        <v>14</v>
      </c>
      <c r="AF111" t="n">
        <v>3</v>
      </c>
      <c r="AG111" t="n">
        <v>3</v>
      </c>
      <c r="AH111" t="n">
        <v>4</v>
      </c>
      <c r="AI111" t="n">
        <v>4</v>
      </c>
      <c r="AJ111" t="n">
        <v>11</v>
      </c>
      <c r="AK111" t="n">
        <v>11</v>
      </c>
      <c r="AL111" t="n">
        <v>0</v>
      </c>
      <c r="AM111" t="n">
        <v>0</v>
      </c>
      <c r="AN111" t="n">
        <v>1</v>
      </c>
      <c r="AO111" t="n">
        <v>1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HYPERLINK("http://catalog.hathitrust.org/Record/000286765","HathiTrust Record")</f>
        <v/>
      </c>
      <c r="AS111">
        <f>HYPERLINK("https://creighton-primo.hosted.exlibrisgroup.com/primo-explore/search?tab=default_tab&amp;search_scope=EVERYTHING&amp;vid=01CRU&amp;lang=en_US&amp;offset=0&amp;query=any,contains,991000306849702656","Catalog Record")</f>
        <v/>
      </c>
      <c r="AT111">
        <f>HYPERLINK("http://www.worldcat.org/oclc/10072140","WorldCat Record")</f>
        <v/>
      </c>
    </row>
    <row r="112">
      <c r="A112" t="inlineStr">
        <is>
          <t>No</t>
        </is>
      </c>
      <c r="B112" t="inlineStr">
        <is>
          <t>R724 .B4583 1997</t>
        </is>
      </c>
      <c r="C112" t="inlineStr">
        <is>
          <t>0                      R  0724000B  4583        1997</t>
        </is>
      </c>
      <c r="D112" t="inlineStr">
        <is>
          <t>Bioethics : an introduction to the history, methods, and practice / [edited by] Nancy S. Jecker, Albert R. Jonsen, Robert A. Pearlman.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Sudbury, Mass. : Jones and Bartlett Publishers, c1997.</t>
        </is>
      </c>
      <c r="M112" t="inlineStr">
        <is>
          <t>1997</t>
        </is>
      </c>
      <c r="O112" t="inlineStr">
        <is>
          <t>eng</t>
        </is>
      </c>
      <c r="P112" t="inlineStr">
        <is>
          <t>mau</t>
        </is>
      </c>
      <c r="Q112" t="inlineStr">
        <is>
          <t>Jones and Bartlett series in philosophy</t>
        </is>
      </c>
      <c r="R112" t="inlineStr">
        <is>
          <t xml:space="preserve">R  </t>
        </is>
      </c>
      <c r="S112" t="n">
        <v>35</v>
      </c>
      <c r="T112" t="n">
        <v>35</v>
      </c>
      <c r="U112" t="inlineStr">
        <is>
          <t>2008-12-12</t>
        </is>
      </c>
      <c r="V112" t="inlineStr">
        <is>
          <t>2008-12-12</t>
        </is>
      </c>
      <c r="W112" t="inlineStr">
        <is>
          <t>1997-03-18</t>
        </is>
      </c>
      <c r="X112" t="inlineStr">
        <is>
          <t>1997-03-18</t>
        </is>
      </c>
      <c r="Y112" t="n">
        <v>323</v>
      </c>
      <c r="Z112" t="n">
        <v>261</v>
      </c>
      <c r="AA112" t="n">
        <v>778</v>
      </c>
      <c r="AB112" t="n">
        <v>1</v>
      </c>
      <c r="AC112" t="n">
        <v>1</v>
      </c>
      <c r="AD112" t="n">
        <v>17</v>
      </c>
      <c r="AE112" t="n">
        <v>30</v>
      </c>
      <c r="AF112" t="n">
        <v>8</v>
      </c>
      <c r="AG112" t="n">
        <v>13</v>
      </c>
      <c r="AH112" t="n">
        <v>4</v>
      </c>
      <c r="AI112" t="n">
        <v>6</v>
      </c>
      <c r="AJ112" t="n">
        <v>9</v>
      </c>
      <c r="AK112" t="n">
        <v>16</v>
      </c>
      <c r="AL112" t="n">
        <v>0</v>
      </c>
      <c r="AM112" t="n">
        <v>0</v>
      </c>
      <c r="AN112" t="n">
        <v>2</v>
      </c>
      <c r="AO112" t="n">
        <v>3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HYPERLINK("http://catalog.hathitrust.org/Record/003255809","HathiTrust Record")</f>
        <v/>
      </c>
      <c r="AS112">
        <f>HYPERLINK("https://creighton-primo.hosted.exlibrisgroup.com/primo-explore/search?tab=default_tab&amp;search_scope=EVERYTHING&amp;vid=01CRU&amp;lang=en_US&amp;offset=0&amp;query=any,contains,991002718979702656","Catalog Record")</f>
        <v/>
      </c>
      <c r="AT112">
        <f>HYPERLINK("http://www.worldcat.org/oclc/35650923","WorldCat Record")</f>
        <v/>
      </c>
    </row>
    <row r="113">
      <c r="A113" t="inlineStr">
        <is>
          <t>No</t>
        </is>
      </c>
      <c r="B113" t="inlineStr">
        <is>
          <t>R724 .B46</t>
        </is>
      </c>
      <c r="C113" t="inlineStr">
        <is>
          <t>0                      R  0724000B  46</t>
        </is>
      </c>
      <c r="D113" t="inlineStr">
        <is>
          <t>Bioethics and human rights : a reader for health professionals / edited by Elsie L. Bandman, Bertram Bandman.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L113" t="inlineStr">
        <is>
          <t>Boston : Little, Brown, c1978.</t>
        </is>
      </c>
      <c r="M113" t="inlineStr">
        <is>
          <t>1978</t>
        </is>
      </c>
      <c r="N113" t="inlineStr">
        <is>
          <t>1st ed.</t>
        </is>
      </c>
      <c r="O113" t="inlineStr">
        <is>
          <t>eng</t>
        </is>
      </c>
      <c r="P113" t="inlineStr">
        <is>
          <t>mau</t>
        </is>
      </c>
      <c r="R113" t="inlineStr">
        <is>
          <t xml:space="preserve">R  </t>
        </is>
      </c>
      <c r="S113" t="n">
        <v>23</v>
      </c>
      <c r="T113" t="n">
        <v>30</v>
      </c>
      <c r="U113" t="inlineStr">
        <is>
          <t>2004-02-17</t>
        </is>
      </c>
      <c r="V113" t="inlineStr">
        <is>
          <t>2004-02-17</t>
        </is>
      </c>
      <c r="W113" t="inlineStr">
        <is>
          <t>1991-12-06</t>
        </is>
      </c>
      <c r="X113" t="inlineStr">
        <is>
          <t>1991-12-06</t>
        </is>
      </c>
      <c r="Y113" t="n">
        <v>573</v>
      </c>
      <c r="Z113" t="n">
        <v>500</v>
      </c>
      <c r="AA113" t="n">
        <v>535</v>
      </c>
      <c r="AB113" t="n">
        <v>5</v>
      </c>
      <c r="AC113" t="n">
        <v>5</v>
      </c>
      <c r="AD113" t="n">
        <v>34</v>
      </c>
      <c r="AE113" t="n">
        <v>35</v>
      </c>
      <c r="AF113" t="n">
        <v>14</v>
      </c>
      <c r="AG113" t="n">
        <v>14</v>
      </c>
      <c r="AH113" t="n">
        <v>4</v>
      </c>
      <c r="AI113" t="n">
        <v>5</v>
      </c>
      <c r="AJ113" t="n">
        <v>18</v>
      </c>
      <c r="AK113" t="n">
        <v>18</v>
      </c>
      <c r="AL113" t="n">
        <v>2</v>
      </c>
      <c r="AM113" t="n">
        <v>2</v>
      </c>
      <c r="AN113" t="n">
        <v>5</v>
      </c>
      <c r="AO113" t="n">
        <v>5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HYPERLINK("http://catalog.hathitrust.org/Record/000223371","HathiTrust Record")</f>
        <v/>
      </c>
      <c r="AS113">
        <f>HYPERLINK("https://creighton-primo.hosted.exlibrisgroup.com/primo-explore/search?tab=default_tab&amp;search_scope=EVERYTHING&amp;vid=01CRU&amp;lang=en_US&amp;offset=0&amp;query=any,contains,991001759909702656","Catalog Record")</f>
        <v/>
      </c>
      <c r="AT113">
        <f>HYPERLINK("http://www.worldcat.org/oclc/4262774","WorldCat Record")</f>
        <v/>
      </c>
    </row>
    <row r="114">
      <c r="A114" t="inlineStr">
        <is>
          <t>No</t>
        </is>
      </c>
      <c r="B114" t="inlineStr">
        <is>
          <t>R724 .B47 1987</t>
        </is>
      </c>
      <c r="C114" t="inlineStr">
        <is>
          <t>0                      R  0724000B  47          1987</t>
        </is>
      </c>
      <c r="D114" t="inlineStr">
        <is>
          <t>Bioethics : basic writings on the key ethical questions that surround the major, modern biological possibilities and problems / edited by Thomas A. Shannon.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Yes</t>
        </is>
      </c>
      <c r="J114" t="inlineStr">
        <is>
          <t>0</t>
        </is>
      </c>
      <c r="L114" t="inlineStr">
        <is>
          <t>Mahwah, N.J. : Paulist Press, 1987</t>
        </is>
      </c>
      <c r="M114" t="inlineStr">
        <is>
          <t>1987</t>
        </is>
      </c>
      <c r="N114" t="inlineStr">
        <is>
          <t>3rd ed.</t>
        </is>
      </c>
      <c r="O114" t="inlineStr">
        <is>
          <t>eng</t>
        </is>
      </c>
      <c r="P114" t="inlineStr">
        <is>
          <t>nju</t>
        </is>
      </c>
      <c r="R114" t="inlineStr">
        <is>
          <t xml:space="preserve">R  </t>
        </is>
      </c>
      <c r="S114" t="n">
        <v>36</v>
      </c>
      <c r="T114" t="n">
        <v>36</v>
      </c>
      <c r="U114" t="inlineStr">
        <is>
          <t>2000-06-15</t>
        </is>
      </c>
      <c r="V114" t="inlineStr">
        <is>
          <t>2000-06-15</t>
        </is>
      </c>
      <c r="W114" t="inlineStr">
        <is>
          <t>1991-12-10</t>
        </is>
      </c>
      <c r="X114" t="inlineStr">
        <is>
          <t>1991-12-10</t>
        </is>
      </c>
      <c r="Y114" t="n">
        <v>318</v>
      </c>
      <c r="Z114" t="n">
        <v>265</v>
      </c>
      <c r="AA114" t="n">
        <v>1001</v>
      </c>
      <c r="AB114" t="n">
        <v>2</v>
      </c>
      <c r="AC114" t="n">
        <v>12</v>
      </c>
      <c r="AD114" t="n">
        <v>16</v>
      </c>
      <c r="AE114" t="n">
        <v>55</v>
      </c>
      <c r="AF114" t="n">
        <v>5</v>
      </c>
      <c r="AG114" t="n">
        <v>18</v>
      </c>
      <c r="AH114" t="n">
        <v>3</v>
      </c>
      <c r="AI114" t="n">
        <v>10</v>
      </c>
      <c r="AJ114" t="n">
        <v>11</v>
      </c>
      <c r="AK114" t="n">
        <v>25</v>
      </c>
      <c r="AL114" t="n">
        <v>1</v>
      </c>
      <c r="AM114" t="n">
        <v>7</v>
      </c>
      <c r="AN114" t="n">
        <v>1</v>
      </c>
      <c r="AO114" t="n">
        <v>7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HYPERLINK("http://catalog.hathitrust.org/Record/000856362","HathiTrust Record")</f>
        <v/>
      </c>
      <c r="AS114">
        <f>HYPERLINK("https://creighton-primo.hosted.exlibrisgroup.com/primo-explore/search?tab=default_tab&amp;search_scope=EVERYTHING&amp;vid=01CRU&amp;lang=en_US&amp;offset=0&amp;query=any,contains,991000955629702656","Catalog Record")</f>
        <v/>
      </c>
      <c r="AT114">
        <f>HYPERLINK("http://www.worldcat.org/oclc/14717665","WorldCat Record")</f>
        <v/>
      </c>
    </row>
    <row r="115">
      <c r="A115" t="inlineStr">
        <is>
          <t>No</t>
        </is>
      </c>
      <c r="B115" t="inlineStr">
        <is>
          <t>R724 .B475 1999</t>
        </is>
      </c>
      <c r="C115" t="inlineStr">
        <is>
          <t>0                      R  0724000B  475         1999</t>
        </is>
      </c>
      <c r="D115" t="inlineStr">
        <is>
          <t>Bioethics for medical education / [volume editor: Rem. B. Edwards].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Stamford, Conn. : JAI Press Inc., c1999.</t>
        </is>
      </c>
      <c r="M115" t="inlineStr">
        <is>
          <t>1999</t>
        </is>
      </c>
      <c r="O115" t="inlineStr">
        <is>
          <t>eng</t>
        </is>
      </c>
      <c r="P115" t="inlineStr">
        <is>
          <t>ctu</t>
        </is>
      </c>
      <c r="Q115" t="inlineStr">
        <is>
          <t>Advances in bioethics ; v. 5</t>
        </is>
      </c>
      <c r="R115" t="inlineStr">
        <is>
          <t xml:space="preserve">R  </t>
        </is>
      </c>
      <c r="S115" t="n">
        <v>15</v>
      </c>
      <c r="T115" t="n">
        <v>15</v>
      </c>
      <c r="U115" t="inlineStr">
        <is>
          <t>2008-06-04</t>
        </is>
      </c>
      <c r="V115" t="inlineStr">
        <is>
          <t>2008-06-04</t>
        </is>
      </c>
      <c r="W115" t="inlineStr">
        <is>
          <t>1999-11-30</t>
        </is>
      </c>
      <c r="X115" t="inlineStr">
        <is>
          <t>1999-11-30</t>
        </is>
      </c>
      <c r="Y115" t="n">
        <v>75</v>
      </c>
      <c r="Z115" t="n">
        <v>46</v>
      </c>
      <c r="AA115" t="n">
        <v>51</v>
      </c>
      <c r="AB115" t="n">
        <v>1</v>
      </c>
      <c r="AC115" t="n">
        <v>1</v>
      </c>
      <c r="AD115" t="n">
        <v>3</v>
      </c>
      <c r="AE115" t="n">
        <v>3</v>
      </c>
      <c r="AF115" t="n">
        <v>1</v>
      </c>
      <c r="AG115" t="n">
        <v>1</v>
      </c>
      <c r="AH115" t="n">
        <v>2</v>
      </c>
      <c r="AI115" t="n">
        <v>2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HYPERLINK("https://creighton-primo.hosted.exlibrisgroup.com/primo-explore/search?tab=default_tab&amp;search_scope=EVERYTHING&amp;vid=01CRU&amp;lang=en_US&amp;offset=0&amp;query=any,contains,991003044229702656","Catalog Record")</f>
        <v/>
      </c>
      <c r="AT115">
        <f>HYPERLINK("http://www.worldcat.org/oclc/42402347","WorldCat Record")</f>
        <v/>
      </c>
    </row>
    <row r="116">
      <c r="A116" t="inlineStr">
        <is>
          <t>No</t>
        </is>
      </c>
      <c r="B116" t="inlineStr">
        <is>
          <t>R724 .B49 2001</t>
        </is>
      </c>
      <c r="C116" t="inlineStr">
        <is>
          <t>0                      R  0724000B  49          2001</t>
        </is>
      </c>
      <c r="D116" t="inlineStr">
        <is>
          <t>Biomedical ethics / [edited by] Thomas A. Mappes, David DeGrazia.</t>
        </is>
      </c>
      <c r="F116" t="inlineStr">
        <is>
          <t>No</t>
        </is>
      </c>
      <c r="G116" t="inlineStr">
        <is>
          <t>1</t>
        </is>
      </c>
      <c r="H116" t="inlineStr">
        <is>
          <t>Yes</t>
        </is>
      </c>
      <c r="I116" t="inlineStr">
        <is>
          <t>Yes</t>
        </is>
      </c>
      <c r="J116" t="inlineStr">
        <is>
          <t>0</t>
        </is>
      </c>
      <c r="L116" t="inlineStr">
        <is>
          <t>Boston : McGraw-Hill, c2001.</t>
        </is>
      </c>
      <c r="M116" t="inlineStr">
        <is>
          <t>2001</t>
        </is>
      </c>
      <c r="N116" t="inlineStr">
        <is>
          <t>5th ed.</t>
        </is>
      </c>
      <c r="O116" t="inlineStr">
        <is>
          <t>eng</t>
        </is>
      </c>
      <c r="P116" t="inlineStr">
        <is>
          <t>mau</t>
        </is>
      </c>
      <c r="R116" t="inlineStr">
        <is>
          <t xml:space="preserve">R  </t>
        </is>
      </c>
      <c r="S116" t="n">
        <v>21</v>
      </c>
      <c r="T116" t="n">
        <v>29</v>
      </c>
      <c r="U116" t="inlineStr">
        <is>
          <t>2008-06-04</t>
        </is>
      </c>
      <c r="V116" t="inlineStr">
        <is>
          <t>2008-06-04</t>
        </is>
      </c>
      <c r="W116" t="inlineStr">
        <is>
          <t>2001-10-17</t>
        </is>
      </c>
      <c r="X116" t="inlineStr">
        <is>
          <t>2004-09-02</t>
        </is>
      </c>
      <c r="Y116" t="n">
        <v>466</v>
      </c>
      <c r="Z116" t="n">
        <v>374</v>
      </c>
      <c r="AA116" t="n">
        <v>1225</v>
      </c>
      <c r="AB116" t="n">
        <v>2</v>
      </c>
      <c r="AC116" t="n">
        <v>7</v>
      </c>
      <c r="AD116" t="n">
        <v>10</v>
      </c>
      <c r="AE116" t="n">
        <v>47</v>
      </c>
      <c r="AF116" t="n">
        <v>3</v>
      </c>
      <c r="AG116" t="n">
        <v>15</v>
      </c>
      <c r="AH116" t="n">
        <v>5</v>
      </c>
      <c r="AI116" t="n">
        <v>11</v>
      </c>
      <c r="AJ116" t="n">
        <v>5</v>
      </c>
      <c r="AK116" t="n">
        <v>20</v>
      </c>
      <c r="AL116" t="n">
        <v>0</v>
      </c>
      <c r="AM116" t="n">
        <v>4</v>
      </c>
      <c r="AN116" t="n">
        <v>0</v>
      </c>
      <c r="AO116" t="n">
        <v>8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HYPERLINK("http://catalog.hathitrust.org/Record/003563354","HathiTrust Record")</f>
        <v/>
      </c>
      <c r="AS116">
        <f>HYPERLINK("https://creighton-primo.hosted.exlibrisgroup.com/primo-explore/search?tab=default_tab&amp;search_scope=EVERYTHING&amp;vid=01CRU&amp;lang=en_US&amp;offset=0&amp;query=any,contains,991001707749702656","Catalog Record")</f>
        <v/>
      </c>
      <c r="AT116">
        <f>HYPERLINK("http://www.worldcat.org/oclc/43483741","WorldCat Record")</f>
        <v/>
      </c>
    </row>
    <row r="117">
      <c r="A117" t="inlineStr">
        <is>
          <t>No</t>
        </is>
      </c>
      <c r="B117" t="inlineStr">
        <is>
          <t>R724 .B494 1983</t>
        </is>
      </c>
      <c r="C117" t="inlineStr">
        <is>
          <t>0                      R  0724000B  494         1983</t>
        </is>
      </c>
      <c r="D117" t="inlineStr">
        <is>
          <t>Biomedical ethics reviews 1983 / edited by James M. Humber and Robert F. Almeder.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Clifton, N.J. : Humana Press, c1983.</t>
        </is>
      </c>
      <c r="M117" t="inlineStr">
        <is>
          <t>1982</t>
        </is>
      </c>
      <c r="O117" t="inlineStr">
        <is>
          <t>eng</t>
        </is>
      </c>
      <c r="P117" t="inlineStr">
        <is>
          <t>nju</t>
        </is>
      </c>
      <c r="R117" t="inlineStr">
        <is>
          <t xml:space="preserve">R  </t>
        </is>
      </c>
      <c r="S117" t="n">
        <v>13</v>
      </c>
      <c r="T117" t="n">
        <v>13</v>
      </c>
      <c r="U117" t="inlineStr">
        <is>
          <t>2001-04-20</t>
        </is>
      </c>
      <c r="V117" t="inlineStr">
        <is>
          <t>2001-04-20</t>
        </is>
      </c>
      <c r="W117" t="inlineStr">
        <is>
          <t>1992-01-06</t>
        </is>
      </c>
      <c r="X117" t="inlineStr">
        <is>
          <t>1992-01-06</t>
        </is>
      </c>
      <c r="Y117" t="n">
        <v>93</v>
      </c>
      <c r="Z117" t="n">
        <v>87</v>
      </c>
      <c r="AA117" t="n">
        <v>133</v>
      </c>
      <c r="AB117" t="n">
        <v>2</v>
      </c>
      <c r="AC117" t="n">
        <v>2</v>
      </c>
      <c r="AD117" t="n">
        <v>6</v>
      </c>
      <c r="AE117" t="n">
        <v>8</v>
      </c>
      <c r="AF117" t="n">
        <v>3</v>
      </c>
      <c r="AG117" t="n">
        <v>5</v>
      </c>
      <c r="AH117" t="n">
        <v>0</v>
      </c>
      <c r="AI117" t="n">
        <v>0</v>
      </c>
      <c r="AJ117" t="n">
        <v>3</v>
      </c>
      <c r="AK117" t="n">
        <v>4</v>
      </c>
      <c r="AL117" t="n">
        <v>1</v>
      </c>
      <c r="AM117" t="n">
        <v>1</v>
      </c>
      <c r="AN117" t="n">
        <v>1</v>
      </c>
      <c r="AO117" t="n">
        <v>1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HYPERLINK("https://creighton-primo.hosted.exlibrisgroup.com/primo-explore/search?tab=default_tab&amp;search_scope=EVERYTHING&amp;vid=01CRU&amp;lang=en_US&amp;offset=0&amp;query=any,contains,991000154069702656","Catalog Record")</f>
        <v/>
      </c>
      <c r="AT117">
        <f>HYPERLINK("http://www.worldcat.org/oclc/9219395","WorldCat Record")</f>
        <v/>
      </c>
    </row>
    <row r="118">
      <c r="A118" t="inlineStr">
        <is>
          <t>No</t>
        </is>
      </c>
      <c r="B118" t="inlineStr">
        <is>
          <t>R724 .B494 1991</t>
        </is>
      </c>
      <c r="C118" t="inlineStr">
        <is>
          <t>0                      R  0724000B  494         1991</t>
        </is>
      </c>
      <c r="D118" t="inlineStr">
        <is>
          <t>Bioethics and the fetus : medical, moral, and legal issues / edited by James M. Humber and Robert F. Almeder.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Totowa, N.J. : Humana Press, c1991.</t>
        </is>
      </c>
      <c r="M118" t="inlineStr">
        <is>
          <t>1991</t>
        </is>
      </c>
      <c r="O118" t="inlineStr">
        <is>
          <t>eng</t>
        </is>
      </c>
      <c r="P118" t="inlineStr">
        <is>
          <t>nju</t>
        </is>
      </c>
      <c r="Q118" t="inlineStr">
        <is>
          <t>Biomedical ethics reviews, 0742-1796 ; 1991</t>
        </is>
      </c>
      <c r="R118" t="inlineStr">
        <is>
          <t xml:space="preserve">R  </t>
        </is>
      </c>
      <c r="S118" t="n">
        <v>13</v>
      </c>
      <c r="T118" t="n">
        <v>13</v>
      </c>
      <c r="U118" t="inlineStr">
        <is>
          <t>2003-11-23</t>
        </is>
      </c>
      <c r="V118" t="inlineStr">
        <is>
          <t>2003-11-23</t>
        </is>
      </c>
      <c r="W118" t="inlineStr">
        <is>
          <t>1998-12-01</t>
        </is>
      </c>
      <c r="X118" t="inlineStr">
        <is>
          <t>1998-12-01</t>
        </is>
      </c>
      <c r="Y118" t="n">
        <v>167</v>
      </c>
      <c r="Z118" t="n">
        <v>129</v>
      </c>
      <c r="AA118" t="n">
        <v>156</v>
      </c>
      <c r="AB118" t="n">
        <v>1</v>
      </c>
      <c r="AC118" t="n">
        <v>1</v>
      </c>
      <c r="AD118" t="n">
        <v>7</v>
      </c>
      <c r="AE118" t="n">
        <v>8</v>
      </c>
      <c r="AF118" t="n">
        <v>2</v>
      </c>
      <c r="AG118" t="n">
        <v>3</v>
      </c>
      <c r="AH118" t="n">
        <v>2</v>
      </c>
      <c r="AI118" t="n">
        <v>2</v>
      </c>
      <c r="AJ118" t="n">
        <v>2</v>
      </c>
      <c r="AK118" t="n">
        <v>3</v>
      </c>
      <c r="AL118" t="n">
        <v>0</v>
      </c>
      <c r="AM118" t="n">
        <v>0</v>
      </c>
      <c r="AN118" t="n">
        <v>2</v>
      </c>
      <c r="AO118" t="n">
        <v>2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HYPERLINK("https://creighton-primo.hosted.exlibrisgroup.com/primo-explore/search?tab=default_tab&amp;search_scope=EVERYTHING&amp;vid=01CRU&amp;lang=en_US&amp;offset=0&amp;query=any,contains,991002118929702656","Catalog Record")</f>
        <v/>
      </c>
      <c r="AT118">
        <f>HYPERLINK("http://www.worldcat.org/oclc/27151050","WorldCat Record")</f>
        <v/>
      </c>
    </row>
    <row r="119">
      <c r="A119" t="inlineStr">
        <is>
          <t>No</t>
        </is>
      </c>
      <c r="B119" t="inlineStr">
        <is>
          <t>R724 .B494 1993</t>
        </is>
      </c>
      <c r="C119" t="inlineStr">
        <is>
          <t>0                      R  0724000B  494         1993</t>
        </is>
      </c>
      <c r="D119" t="inlineStr">
        <is>
          <t>Physician-assisted death / edited by James M. Humber, Robert F. Almeder, and Gregg A. Kasting.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Totowa, N.J. : Humana Press, c1994.</t>
        </is>
      </c>
      <c r="M119" t="inlineStr">
        <is>
          <t>1994</t>
        </is>
      </c>
      <c r="O119" t="inlineStr">
        <is>
          <t>eng</t>
        </is>
      </c>
      <c r="P119" t="inlineStr">
        <is>
          <t>xxu</t>
        </is>
      </c>
      <c r="Q119" t="inlineStr">
        <is>
          <t>Biomedical ethics reviews, 0742-1796 ; 1993</t>
        </is>
      </c>
      <c r="R119" t="inlineStr">
        <is>
          <t xml:space="preserve">R  </t>
        </is>
      </c>
      <c r="S119" t="n">
        <v>52</v>
      </c>
      <c r="T119" t="n">
        <v>52</v>
      </c>
      <c r="U119" t="inlineStr">
        <is>
          <t>2009-11-16</t>
        </is>
      </c>
      <c r="V119" t="inlineStr">
        <is>
          <t>2009-11-16</t>
        </is>
      </c>
      <c r="W119" t="inlineStr">
        <is>
          <t>1995-02-28</t>
        </is>
      </c>
      <c r="X119" t="inlineStr">
        <is>
          <t>1995-02-28</t>
        </is>
      </c>
      <c r="Y119" t="n">
        <v>583</v>
      </c>
      <c r="Z119" t="n">
        <v>500</v>
      </c>
      <c r="AA119" t="n">
        <v>524</v>
      </c>
      <c r="AB119" t="n">
        <v>4</v>
      </c>
      <c r="AC119" t="n">
        <v>4</v>
      </c>
      <c r="AD119" t="n">
        <v>28</v>
      </c>
      <c r="AE119" t="n">
        <v>29</v>
      </c>
      <c r="AF119" t="n">
        <v>10</v>
      </c>
      <c r="AG119" t="n">
        <v>11</v>
      </c>
      <c r="AH119" t="n">
        <v>4</v>
      </c>
      <c r="AI119" t="n">
        <v>4</v>
      </c>
      <c r="AJ119" t="n">
        <v>12</v>
      </c>
      <c r="AK119" t="n">
        <v>13</v>
      </c>
      <c r="AL119" t="n">
        <v>2</v>
      </c>
      <c r="AM119" t="n">
        <v>2</v>
      </c>
      <c r="AN119" t="n">
        <v>5</v>
      </c>
      <c r="AO119" t="n">
        <v>5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HYPERLINK("https://creighton-primo.hosted.exlibrisgroup.com/primo-explore/search?tab=default_tab&amp;search_scope=EVERYTHING&amp;vid=01CRU&amp;lang=en_US&amp;offset=0&amp;query=any,contains,991002310489702656","Catalog Record")</f>
        <v/>
      </c>
      <c r="AT119">
        <f>HYPERLINK("http://www.worldcat.org/oclc/29981377","WorldCat Record")</f>
        <v/>
      </c>
    </row>
    <row r="120">
      <c r="A120" t="inlineStr">
        <is>
          <t>No</t>
        </is>
      </c>
      <c r="B120" t="inlineStr">
        <is>
          <t>R724 .B494 1996</t>
        </is>
      </c>
      <c r="C120" t="inlineStr">
        <is>
          <t>0                      R  0724000B  494         1996</t>
        </is>
      </c>
      <c r="D120" t="inlineStr">
        <is>
          <t>Reproduction, technology, and rights / edited by James M. Humber and Robert F. Almeder.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Totowa, N.J. : Humana Press, c1996</t>
        </is>
      </c>
      <c r="M120" t="inlineStr">
        <is>
          <t>1996</t>
        </is>
      </c>
      <c r="O120" t="inlineStr">
        <is>
          <t>eng</t>
        </is>
      </c>
      <c r="P120" t="inlineStr">
        <is>
          <t>nju</t>
        </is>
      </c>
      <c r="Q120" t="inlineStr">
        <is>
          <t>Biomedical ethics reviews ; 1996</t>
        </is>
      </c>
      <c r="R120" t="inlineStr">
        <is>
          <t xml:space="preserve">R  </t>
        </is>
      </c>
      <c r="S120" t="n">
        <v>17</v>
      </c>
      <c r="T120" t="n">
        <v>17</v>
      </c>
      <c r="U120" t="inlineStr">
        <is>
          <t>2004-11-08</t>
        </is>
      </c>
      <c r="V120" t="inlineStr">
        <is>
          <t>2004-11-08</t>
        </is>
      </c>
      <c r="W120" t="inlineStr">
        <is>
          <t>1998-12-01</t>
        </is>
      </c>
      <c r="X120" t="inlineStr">
        <is>
          <t>1998-12-01</t>
        </is>
      </c>
      <c r="Y120" t="n">
        <v>250</v>
      </c>
      <c r="Z120" t="n">
        <v>202</v>
      </c>
      <c r="AA120" t="n">
        <v>231</v>
      </c>
      <c r="AB120" t="n">
        <v>2</v>
      </c>
      <c r="AC120" t="n">
        <v>2</v>
      </c>
      <c r="AD120" t="n">
        <v>12</v>
      </c>
      <c r="AE120" t="n">
        <v>14</v>
      </c>
      <c r="AF120" t="n">
        <v>5</v>
      </c>
      <c r="AG120" t="n">
        <v>7</v>
      </c>
      <c r="AH120" t="n">
        <v>4</v>
      </c>
      <c r="AI120" t="n">
        <v>5</v>
      </c>
      <c r="AJ120" t="n">
        <v>4</v>
      </c>
      <c r="AK120" t="n">
        <v>5</v>
      </c>
      <c r="AL120" t="n">
        <v>1</v>
      </c>
      <c r="AM120" t="n">
        <v>1</v>
      </c>
      <c r="AN120" t="n">
        <v>2</v>
      </c>
      <c r="AO120" t="n">
        <v>2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HYPERLINK("https://creighton-primo.hosted.exlibrisgroup.com/primo-explore/search?tab=default_tab&amp;search_scope=EVERYTHING&amp;vid=01CRU&amp;lang=en_US&amp;offset=0&amp;query=any,contains,991002608429702656","Catalog Record")</f>
        <v/>
      </c>
      <c r="AT120">
        <f>HYPERLINK("http://www.worldcat.org/oclc/34161749","WorldCat Record")</f>
        <v/>
      </c>
    </row>
    <row r="121">
      <c r="A121" t="inlineStr">
        <is>
          <t>No</t>
        </is>
      </c>
      <c r="B121" t="inlineStr">
        <is>
          <t>R724 .B494 1998</t>
        </is>
      </c>
      <c r="C121" t="inlineStr">
        <is>
          <t>0                      R  0724000B  494         1998</t>
        </is>
      </c>
      <c r="D121" t="inlineStr">
        <is>
          <t>Human cloning / edited by James M. Humber and Robert F. Almeder.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Totowa, N.J. Humana Press, c1998.</t>
        </is>
      </c>
      <c r="M121" t="inlineStr">
        <is>
          <t>1998</t>
        </is>
      </c>
      <c r="O121" t="inlineStr">
        <is>
          <t>eng</t>
        </is>
      </c>
      <c r="P121" t="inlineStr">
        <is>
          <t>nju</t>
        </is>
      </c>
      <c r="Q121" t="inlineStr">
        <is>
          <t>Biomedical ethics reviews ; 1998</t>
        </is>
      </c>
      <c r="R121" t="inlineStr">
        <is>
          <t xml:space="preserve">R  </t>
        </is>
      </c>
      <c r="S121" t="n">
        <v>17</v>
      </c>
      <c r="T121" t="n">
        <v>17</v>
      </c>
      <c r="U121" t="inlineStr">
        <is>
          <t>2009-03-29</t>
        </is>
      </c>
      <c r="V121" t="inlineStr">
        <is>
          <t>2009-03-29</t>
        </is>
      </c>
      <c r="W121" t="inlineStr">
        <is>
          <t>1998-12-01</t>
        </is>
      </c>
      <c r="X121" t="inlineStr">
        <is>
          <t>1998-12-01</t>
        </is>
      </c>
      <c r="Y121" t="n">
        <v>346</v>
      </c>
      <c r="Z121" t="n">
        <v>271</v>
      </c>
      <c r="AA121" t="n">
        <v>1113</v>
      </c>
      <c r="AB121" t="n">
        <v>2</v>
      </c>
      <c r="AC121" t="n">
        <v>27</v>
      </c>
      <c r="AD121" t="n">
        <v>19</v>
      </c>
      <c r="AE121" t="n">
        <v>42</v>
      </c>
      <c r="AF121" t="n">
        <v>7</v>
      </c>
      <c r="AG121" t="n">
        <v>16</v>
      </c>
      <c r="AH121" t="n">
        <v>6</v>
      </c>
      <c r="AI121" t="n">
        <v>8</v>
      </c>
      <c r="AJ121" t="n">
        <v>12</v>
      </c>
      <c r="AK121" t="n">
        <v>17</v>
      </c>
      <c r="AL121" t="n">
        <v>1</v>
      </c>
      <c r="AM121" t="n">
        <v>12</v>
      </c>
      <c r="AN121" t="n">
        <v>1</v>
      </c>
      <c r="AO121" t="n">
        <v>1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HYPERLINK("https://creighton-primo.hosted.exlibrisgroup.com/primo-explore/search?tab=default_tab&amp;search_scope=EVERYTHING&amp;vid=01CRU&amp;lang=en_US&amp;offset=0&amp;query=any,contains,991002980249702656","Catalog Record")</f>
        <v/>
      </c>
      <c r="AT121">
        <f>HYPERLINK("http://www.worldcat.org/oclc/40072645","WorldCat Record")</f>
        <v/>
      </c>
    </row>
    <row r="122">
      <c r="A122" t="inlineStr">
        <is>
          <t>No</t>
        </is>
      </c>
      <c r="B122" t="inlineStr">
        <is>
          <t>R724 .C33</t>
        </is>
      </c>
      <c r="C122" t="inlineStr">
        <is>
          <t>0                      R  0724000C  33</t>
        </is>
      </c>
      <c r="D122" t="inlineStr">
        <is>
          <t>Moral dilemmas in medicine : a coursebook in ethics for doctors and nurses / [by] Alastair V. Campbell.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Campbell, Alastair V.</t>
        </is>
      </c>
      <c r="L122" t="inlineStr">
        <is>
          <t>Edinburgh : Churchill Livingstone, [c1972]</t>
        </is>
      </c>
      <c r="M122" t="inlineStr">
        <is>
          <t>1972</t>
        </is>
      </c>
      <c r="O122" t="inlineStr">
        <is>
          <t>eng</t>
        </is>
      </c>
      <c r="P122" t="inlineStr">
        <is>
          <t>stk</t>
        </is>
      </c>
      <c r="R122" t="inlineStr">
        <is>
          <t xml:space="preserve">R  </t>
        </is>
      </c>
      <c r="S122" t="n">
        <v>16</v>
      </c>
      <c r="T122" t="n">
        <v>16</v>
      </c>
      <c r="U122" t="inlineStr">
        <is>
          <t>2001-03-15</t>
        </is>
      </c>
      <c r="V122" t="inlineStr">
        <is>
          <t>2001-03-15</t>
        </is>
      </c>
      <c r="W122" t="inlineStr">
        <is>
          <t>1992-04-26</t>
        </is>
      </c>
      <c r="X122" t="inlineStr">
        <is>
          <t>1992-04-26</t>
        </is>
      </c>
      <c r="Y122" t="n">
        <v>137</v>
      </c>
      <c r="Z122" t="n">
        <v>94</v>
      </c>
      <c r="AA122" t="n">
        <v>300</v>
      </c>
      <c r="AB122" t="n">
        <v>1</v>
      </c>
      <c r="AC122" t="n">
        <v>2</v>
      </c>
      <c r="AD122" t="n">
        <v>7</v>
      </c>
      <c r="AE122" t="n">
        <v>15</v>
      </c>
      <c r="AF122" t="n">
        <v>2</v>
      </c>
      <c r="AG122" t="n">
        <v>4</v>
      </c>
      <c r="AH122" t="n">
        <v>2</v>
      </c>
      <c r="AI122" t="n">
        <v>4</v>
      </c>
      <c r="AJ122" t="n">
        <v>6</v>
      </c>
      <c r="AK122" t="n">
        <v>11</v>
      </c>
      <c r="AL122" t="n">
        <v>0</v>
      </c>
      <c r="AM122" t="n">
        <v>1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HYPERLINK("http://catalog.hathitrust.org/Record/000201069","HathiTrust Record")</f>
        <v/>
      </c>
      <c r="AS122">
        <f>HYPERLINK("https://creighton-primo.hosted.exlibrisgroup.com/primo-explore/search?tab=default_tab&amp;search_scope=EVERYTHING&amp;vid=01CRU&amp;lang=en_US&amp;offset=0&amp;query=any,contains,991003045219702656","Catalog Record")</f>
        <v/>
      </c>
      <c r="AT122">
        <f>HYPERLINK("http://www.worldcat.org/oclc/605936","WorldCat Record")</f>
        <v/>
      </c>
    </row>
    <row r="123">
      <c r="A123" t="inlineStr">
        <is>
          <t>No</t>
        </is>
      </c>
      <c r="B123" t="inlineStr">
        <is>
          <t>R724 .C48</t>
        </is>
      </c>
      <c r="C123" t="inlineStr">
        <is>
          <t>0                      R  0724000C  48</t>
        </is>
      </c>
      <c r="D123" t="inlineStr">
        <is>
          <t>Priorities in biomedical ethics / by James F. Childress.</t>
        </is>
      </c>
      <c r="F123" t="inlineStr">
        <is>
          <t>No</t>
        </is>
      </c>
      <c r="G123" t="inlineStr">
        <is>
          <t>1</t>
        </is>
      </c>
      <c r="H123" t="inlineStr">
        <is>
          <t>Yes</t>
        </is>
      </c>
      <c r="I123" t="inlineStr">
        <is>
          <t>No</t>
        </is>
      </c>
      <c r="J123" t="inlineStr">
        <is>
          <t>0</t>
        </is>
      </c>
      <c r="K123" t="inlineStr">
        <is>
          <t>Childress, James F.</t>
        </is>
      </c>
      <c r="L123" t="inlineStr">
        <is>
          <t>Philadelphia : Westminster Press, c1981.</t>
        </is>
      </c>
      <c r="M123" t="inlineStr">
        <is>
          <t>1981</t>
        </is>
      </c>
      <c r="N123" t="inlineStr">
        <is>
          <t>1st ed.</t>
        </is>
      </c>
      <c r="O123" t="inlineStr">
        <is>
          <t>eng</t>
        </is>
      </c>
      <c r="P123" t="inlineStr">
        <is>
          <t>pau</t>
        </is>
      </c>
      <c r="R123" t="inlineStr">
        <is>
          <t xml:space="preserve">R  </t>
        </is>
      </c>
      <c r="S123" t="n">
        <v>17</v>
      </c>
      <c r="T123" t="n">
        <v>24</v>
      </c>
      <c r="U123" t="inlineStr">
        <is>
          <t>2003-04-16</t>
        </is>
      </c>
      <c r="V123" t="inlineStr">
        <is>
          <t>2003-04-16</t>
        </is>
      </c>
      <c r="W123" t="inlineStr">
        <is>
          <t>1990-07-20</t>
        </is>
      </c>
      <c r="X123" t="inlineStr">
        <is>
          <t>1990-07-20</t>
        </is>
      </c>
      <c r="Y123" t="n">
        <v>759</v>
      </c>
      <c r="Z123" t="n">
        <v>674</v>
      </c>
      <c r="AA123" t="n">
        <v>674</v>
      </c>
      <c r="AB123" t="n">
        <v>6</v>
      </c>
      <c r="AC123" t="n">
        <v>6</v>
      </c>
      <c r="AD123" t="n">
        <v>30</v>
      </c>
      <c r="AE123" t="n">
        <v>30</v>
      </c>
      <c r="AF123" t="n">
        <v>14</v>
      </c>
      <c r="AG123" t="n">
        <v>14</v>
      </c>
      <c r="AH123" t="n">
        <v>4</v>
      </c>
      <c r="AI123" t="n">
        <v>4</v>
      </c>
      <c r="AJ123" t="n">
        <v>17</v>
      </c>
      <c r="AK123" t="n">
        <v>17</v>
      </c>
      <c r="AL123" t="n">
        <v>3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HYPERLINK("http://catalog.hathitrust.org/Record/010593937","HathiTrust Record")</f>
        <v/>
      </c>
      <c r="AS123">
        <f>HYPERLINK("https://creighton-primo.hosted.exlibrisgroup.com/primo-explore/search?tab=default_tab&amp;search_scope=EVERYTHING&amp;vid=01CRU&amp;lang=en_US&amp;offset=0&amp;query=any,contains,991001760449702656","Catalog Record")</f>
        <v/>
      </c>
      <c r="AT123">
        <f>HYPERLINK("http://www.worldcat.org/oclc/7197146","WorldCat Record")</f>
        <v/>
      </c>
    </row>
    <row r="124">
      <c r="A124" t="inlineStr">
        <is>
          <t>No</t>
        </is>
      </c>
      <c r="B124" t="inlineStr">
        <is>
          <t>R724 .C824 2005</t>
        </is>
      </c>
      <c r="C124" t="inlineStr">
        <is>
          <t>0                      R  0724000C  824         2005</t>
        </is>
      </c>
      <c r="D124" t="inlineStr">
        <is>
          <t>Health and the good society : setting healthcare ethics in social context / Alan Cribb.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Cribb, Alan.</t>
        </is>
      </c>
      <c r="L124" t="inlineStr">
        <is>
          <t>Oxford : Clarendon Press ; New York : Oxford University Press, 2005.</t>
        </is>
      </c>
      <c r="M124" t="inlineStr">
        <is>
          <t>2005</t>
        </is>
      </c>
      <c r="O124" t="inlineStr">
        <is>
          <t>eng</t>
        </is>
      </c>
      <c r="P124" t="inlineStr">
        <is>
          <t>enk</t>
        </is>
      </c>
      <c r="Q124" t="inlineStr">
        <is>
          <t>Issues in biomedical ethics</t>
        </is>
      </c>
      <c r="R124" t="inlineStr">
        <is>
          <t xml:space="preserve">R  </t>
        </is>
      </c>
      <c r="S124" t="n">
        <v>2</v>
      </c>
      <c r="T124" t="n">
        <v>2</v>
      </c>
      <c r="U124" t="inlineStr">
        <is>
          <t>2008-03-31</t>
        </is>
      </c>
      <c r="V124" t="inlineStr">
        <is>
          <t>2008-03-31</t>
        </is>
      </c>
      <c r="W124" t="inlineStr">
        <is>
          <t>2008-03-31</t>
        </is>
      </c>
      <c r="X124" t="inlineStr">
        <is>
          <t>2008-03-31</t>
        </is>
      </c>
      <c r="Y124" t="n">
        <v>245</v>
      </c>
      <c r="Z124" t="n">
        <v>155</v>
      </c>
      <c r="AA124" t="n">
        <v>478</v>
      </c>
      <c r="AB124" t="n">
        <v>1</v>
      </c>
      <c r="AC124" t="n">
        <v>16</v>
      </c>
      <c r="AD124" t="n">
        <v>11</v>
      </c>
      <c r="AE124" t="n">
        <v>26</v>
      </c>
      <c r="AF124" t="n">
        <v>3</v>
      </c>
      <c r="AG124" t="n">
        <v>6</v>
      </c>
      <c r="AH124" t="n">
        <v>5</v>
      </c>
      <c r="AI124" t="n">
        <v>7</v>
      </c>
      <c r="AJ124" t="n">
        <v>5</v>
      </c>
      <c r="AK124" t="n">
        <v>9</v>
      </c>
      <c r="AL124" t="n">
        <v>0</v>
      </c>
      <c r="AM124" t="n">
        <v>8</v>
      </c>
      <c r="AN124" t="n">
        <v>1</v>
      </c>
      <c r="AO124" t="n">
        <v>1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HYPERLINK("https://creighton-primo.hosted.exlibrisgroup.com/primo-explore/search?tab=default_tab&amp;search_scope=EVERYTHING&amp;vid=01CRU&amp;lang=en_US&amp;offset=0&amp;query=any,contains,991005193529702656","Catalog Record")</f>
        <v/>
      </c>
      <c r="AT124">
        <f>HYPERLINK("http://www.worldcat.org/oclc/61176451","WorldCat Record")</f>
        <v/>
      </c>
    </row>
    <row r="125">
      <c r="A125" t="inlineStr">
        <is>
          <t>No</t>
        </is>
      </c>
      <c r="B125" t="inlineStr">
        <is>
          <t>R724 .D68 1985</t>
        </is>
      </c>
      <c r="C125" t="inlineStr">
        <is>
          <t>0                      R  0724000D  68          1985</t>
        </is>
      </c>
      <c r="D125" t="inlineStr">
        <is>
          <t>Ideal, fact, and medicine : a philosophy for health care / Charles J. Dougherty.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Dougherty, Charles J., 1949-</t>
        </is>
      </c>
      <c r="L125" t="inlineStr">
        <is>
          <t>Lanham, MD : University Press of America, c1985.</t>
        </is>
      </c>
      <c r="M125" t="inlineStr">
        <is>
          <t>1985</t>
        </is>
      </c>
      <c r="O125" t="inlineStr">
        <is>
          <t>eng</t>
        </is>
      </c>
      <c r="P125" t="inlineStr">
        <is>
          <t>mdu</t>
        </is>
      </c>
      <c r="R125" t="inlineStr">
        <is>
          <t xml:space="preserve">R  </t>
        </is>
      </c>
      <c r="S125" t="n">
        <v>19</v>
      </c>
      <c r="T125" t="n">
        <v>19</v>
      </c>
      <c r="U125" t="inlineStr">
        <is>
          <t>2001-04-04</t>
        </is>
      </c>
      <c r="V125" t="inlineStr">
        <is>
          <t>2001-04-04</t>
        </is>
      </c>
      <c r="W125" t="inlineStr">
        <is>
          <t>1991-12-10</t>
        </is>
      </c>
      <c r="X125" t="inlineStr">
        <is>
          <t>1991-12-10</t>
        </is>
      </c>
      <c r="Y125" t="n">
        <v>130</v>
      </c>
      <c r="Z125" t="n">
        <v>109</v>
      </c>
      <c r="AA125" t="n">
        <v>111</v>
      </c>
      <c r="AB125" t="n">
        <v>1</v>
      </c>
      <c r="AC125" t="n">
        <v>1</v>
      </c>
      <c r="AD125" t="n">
        <v>4</v>
      </c>
      <c r="AE125" t="n">
        <v>4</v>
      </c>
      <c r="AF125" t="n">
        <v>1</v>
      </c>
      <c r="AG125" t="n">
        <v>1</v>
      </c>
      <c r="AH125" t="n">
        <v>0</v>
      </c>
      <c r="AI125" t="n">
        <v>0</v>
      </c>
      <c r="AJ125" t="n">
        <v>3</v>
      </c>
      <c r="AK125" t="n">
        <v>3</v>
      </c>
      <c r="AL125" t="n">
        <v>0</v>
      </c>
      <c r="AM125" t="n">
        <v>0</v>
      </c>
      <c r="AN125" t="n">
        <v>1</v>
      </c>
      <c r="AO125" t="n">
        <v>1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HYPERLINK("http://catalog.hathitrust.org/Record/000347808","HathiTrust Record")</f>
        <v/>
      </c>
      <c r="AS125">
        <f>HYPERLINK("https://creighton-primo.hosted.exlibrisgroup.com/primo-explore/search?tab=default_tab&amp;search_scope=EVERYTHING&amp;vid=01CRU&amp;lang=en_US&amp;offset=0&amp;query=any,contains,991002221439702656","Catalog Record")</f>
        <v/>
      </c>
      <c r="AT125">
        <f>HYPERLINK("http://www.worldcat.org/oclc/11918195","WorldCat Record")</f>
        <v/>
      </c>
    </row>
    <row r="126">
      <c r="A126" t="inlineStr">
        <is>
          <t>No</t>
        </is>
      </c>
      <c r="B126" t="inlineStr">
        <is>
          <t>R724 .E43 1983</t>
        </is>
      </c>
      <c r="C126" t="inlineStr">
        <is>
          <t>0                      R  0724000E  43          1983</t>
        </is>
      </c>
      <c r="D126" t="inlineStr">
        <is>
          <t>El ejercicio de la medicina en la República Dominicana / [editor Frank Moya Pons]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Santo Domingo, República Dominicana : FORUM, 1983.</t>
        </is>
      </c>
      <c r="M126" t="inlineStr">
        <is>
          <t>1983</t>
        </is>
      </c>
      <c r="O126" t="inlineStr">
        <is>
          <t>spa</t>
        </is>
      </c>
      <c r="P126" t="inlineStr">
        <is>
          <t xml:space="preserve">dr </t>
        </is>
      </c>
      <c r="Q126" t="inlineStr">
        <is>
          <t>FORUM ; 10</t>
        </is>
      </c>
      <c r="R126" t="inlineStr">
        <is>
          <t xml:space="preserve">R  </t>
        </is>
      </c>
      <c r="S126" t="n">
        <v>1</v>
      </c>
      <c r="T126" t="n">
        <v>1</v>
      </c>
      <c r="U126" t="inlineStr">
        <is>
          <t>2001-06-21</t>
        </is>
      </c>
      <c r="V126" t="inlineStr">
        <is>
          <t>2001-06-21</t>
        </is>
      </c>
      <c r="W126" t="inlineStr">
        <is>
          <t>2001-06-21</t>
        </is>
      </c>
      <c r="X126" t="inlineStr">
        <is>
          <t>2001-06-21</t>
        </is>
      </c>
      <c r="Y126" t="n">
        <v>14</v>
      </c>
      <c r="Z126" t="n">
        <v>14</v>
      </c>
      <c r="AA126" t="n">
        <v>15</v>
      </c>
      <c r="AB126" t="n">
        <v>1</v>
      </c>
      <c r="AC126" t="n">
        <v>1</v>
      </c>
      <c r="AD126" t="n">
        <v>1</v>
      </c>
      <c r="AE126" t="n">
        <v>1</v>
      </c>
      <c r="AF126" t="n">
        <v>0</v>
      </c>
      <c r="AG126" t="n">
        <v>0</v>
      </c>
      <c r="AH126" t="n">
        <v>1</v>
      </c>
      <c r="AI126" t="n">
        <v>1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HYPERLINK("https://creighton-primo.hosted.exlibrisgroup.com/primo-explore/search?tab=default_tab&amp;search_scope=EVERYTHING&amp;vid=01CRU&amp;lang=en_US&amp;offset=0&amp;query=any,contains,991003561279702656","Catalog Record")</f>
        <v/>
      </c>
      <c r="AT126">
        <f>HYPERLINK("http://www.worldcat.org/oclc/12438847","WorldCat Record")</f>
        <v/>
      </c>
    </row>
    <row r="127">
      <c r="A127" t="inlineStr">
        <is>
          <t>No</t>
        </is>
      </c>
      <c r="B127" t="inlineStr">
        <is>
          <t>R724 .E5 1991</t>
        </is>
      </c>
      <c r="C127" t="inlineStr">
        <is>
          <t>0                      R  0724000E  5           1991</t>
        </is>
      </c>
      <c r="D127" t="inlineStr">
        <is>
          <t>The ends of human life : medical ethics in a liberal polity / Ezekiel J. Emanuel.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Emanuel, Ezekiel J., 1957-</t>
        </is>
      </c>
      <c r="L127" t="inlineStr">
        <is>
          <t>Cambridge, Mass. : Harvard University Press, 1991.</t>
        </is>
      </c>
      <c r="M127" t="inlineStr">
        <is>
          <t>1991</t>
        </is>
      </c>
      <c r="O127" t="inlineStr">
        <is>
          <t>eng</t>
        </is>
      </c>
      <c r="P127" t="inlineStr">
        <is>
          <t>mau</t>
        </is>
      </c>
      <c r="R127" t="inlineStr">
        <is>
          <t xml:space="preserve">R  </t>
        </is>
      </c>
      <c r="S127" t="n">
        <v>20</v>
      </c>
      <c r="T127" t="n">
        <v>20</v>
      </c>
      <c r="U127" t="inlineStr">
        <is>
          <t>2002-07-03</t>
        </is>
      </c>
      <c r="V127" t="inlineStr">
        <is>
          <t>2002-07-03</t>
        </is>
      </c>
      <c r="W127" t="inlineStr">
        <is>
          <t>1992-02-13</t>
        </is>
      </c>
      <c r="X127" t="inlineStr">
        <is>
          <t>1992-02-13</t>
        </is>
      </c>
      <c r="Y127" t="n">
        <v>633</v>
      </c>
      <c r="Z127" t="n">
        <v>538</v>
      </c>
      <c r="AA127" t="n">
        <v>547</v>
      </c>
      <c r="AB127" t="n">
        <v>4</v>
      </c>
      <c r="AC127" t="n">
        <v>4</v>
      </c>
      <c r="AD127" t="n">
        <v>36</v>
      </c>
      <c r="AE127" t="n">
        <v>36</v>
      </c>
      <c r="AF127" t="n">
        <v>14</v>
      </c>
      <c r="AG127" t="n">
        <v>14</v>
      </c>
      <c r="AH127" t="n">
        <v>6</v>
      </c>
      <c r="AI127" t="n">
        <v>6</v>
      </c>
      <c r="AJ127" t="n">
        <v>15</v>
      </c>
      <c r="AK127" t="n">
        <v>15</v>
      </c>
      <c r="AL127" t="n">
        <v>3</v>
      </c>
      <c r="AM127" t="n">
        <v>3</v>
      </c>
      <c r="AN127" t="n">
        <v>6</v>
      </c>
      <c r="AO127" t="n">
        <v>6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HYPERLINK("http://catalog.hathitrust.org/Record/002505556","HathiTrust Record")</f>
        <v/>
      </c>
      <c r="AS127">
        <f>HYPERLINK("https://creighton-primo.hosted.exlibrisgroup.com/primo-explore/search?tab=default_tab&amp;search_scope=EVERYTHING&amp;vid=01CRU&amp;lang=en_US&amp;offset=0&amp;query=any,contains,991001881739702656","Catalog Record")</f>
        <v/>
      </c>
      <c r="AT127">
        <f>HYPERLINK("http://www.worldcat.org/oclc/23732356","WorldCat Record")</f>
        <v/>
      </c>
    </row>
    <row r="128">
      <c r="A128" t="inlineStr">
        <is>
          <t>No</t>
        </is>
      </c>
      <c r="B128" t="inlineStr">
        <is>
          <t>R724 .E515 1995</t>
        </is>
      </c>
      <c r="C128" t="inlineStr">
        <is>
          <t>0                      R  0724000E  515         1995</t>
        </is>
      </c>
      <c r="D128" t="inlineStr">
        <is>
          <t>Embodiment, morality, and medicine / edited by Lisa Sowle Cahill and Margaret A. Farley.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Dordrecht ; Boston : Kluwer Academic Publishers, c1995.</t>
        </is>
      </c>
      <c r="M128" t="inlineStr">
        <is>
          <t>1995</t>
        </is>
      </c>
      <c r="O128" t="inlineStr">
        <is>
          <t>eng</t>
        </is>
      </c>
      <c r="P128" t="inlineStr">
        <is>
          <t xml:space="preserve">ne </t>
        </is>
      </c>
      <c r="Q128" t="inlineStr">
        <is>
          <t>Theology and medicine ; v. 6</t>
        </is>
      </c>
      <c r="R128" t="inlineStr">
        <is>
          <t xml:space="preserve">R  </t>
        </is>
      </c>
      <c r="S128" t="n">
        <v>12</v>
      </c>
      <c r="T128" t="n">
        <v>12</v>
      </c>
      <c r="U128" t="inlineStr">
        <is>
          <t>2005-07-13</t>
        </is>
      </c>
      <c r="V128" t="inlineStr">
        <is>
          <t>2005-07-13</t>
        </is>
      </c>
      <c r="W128" t="inlineStr">
        <is>
          <t>1997-10-23</t>
        </is>
      </c>
      <c r="X128" t="inlineStr">
        <is>
          <t>1997-10-23</t>
        </is>
      </c>
      <c r="Y128" t="n">
        <v>145</v>
      </c>
      <c r="Z128" t="n">
        <v>98</v>
      </c>
      <c r="AA128" t="n">
        <v>108</v>
      </c>
      <c r="AB128" t="n">
        <v>1</v>
      </c>
      <c r="AC128" t="n">
        <v>1</v>
      </c>
      <c r="AD128" t="n">
        <v>13</v>
      </c>
      <c r="AE128" t="n">
        <v>15</v>
      </c>
      <c r="AF128" t="n">
        <v>5</v>
      </c>
      <c r="AG128" t="n">
        <v>7</v>
      </c>
      <c r="AH128" t="n">
        <v>2</v>
      </c>
      <c r="AI128" t="n">
        <v>2</v>
      </c>
      <c r="AJ128" t="n">
        <v>12</v>
      </c>
      <c r="AK128" t="n">
        <v>14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HYPERLINK("https://creighton-primo.hosted.exlibrisgroup.com/primo-explore/search?tab=default_tab&amp;search_scope=EVERYTHING&amp;vid=01CRU&amp;lang=en_US&amp;offset=0&amp;query=any,contains,991005420159702656","Catalog Record")</f>
        <v/>
      </c>
      <c r="AT128">
        <f>HYPERLINK("http://www.worldcat.org/oclc/31738760","WorldCat Record")</f>
        <v/>
      </c>
    </row>
    <row r="129">
      <c r="A129" t="inlineStr">
        <is>
          <t>No</t>
        </is>
      </c>
      <c r="B129" t="inlineStr">
        <is>
          <t>R724 .E54 1996</t>
        </is>
      </c>
      <c r="C129" t="inlineStr">
        <is>
          <t>0                      R  0724000E  54          1996</t>
        </is>
      </c>
      <c r="D129" t="inlineStr">
        <is>
          <t>The foundation of bioethics / H. Tristram Engelhardt, Jr.</t>
        </is>
      </c>
      <c r="F129" t="inlineStr">
        <is>
          <t>No</t>
        </is>
      </c>
      <c r="G129" t="inlineStr">
        <is>
          <t>1</t>
        </is>
      </c>
      <c r="H129" t="inlineStr">
        <is>
          <t>Yes</t>
        </is>
      </c>
      <c r="I129" t="inlineStr">
        <is>
          <t>Yes</t>
        </is>
      </c>
      <c r="J129" t="inlineStr">
        <is>
          <t>0</t>
        </is>
      </c>
      <c r="K129" t="inlineStr">
        <is>
          <t>Engelhardt, H. Tristram (Hugo Tristram), Jr., 1941-2018.</t>
        </is>
      </c>
      <c r="L129" t="inlineStr">
        <is>
          <t>New York : Oxford University Press, 1996.</t>
        </is>
      </c>
      <c r="M129" t="inlineStr">
        <is>
          <t>1996</t>
        </is>
      </c>
      <c r="N129" t="inlineStr">
        <is>
          <t>2nd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R  </t>
        </is>
      </c>
      <c r="S129" t="n">
        <v>8</v>
      </c>
      <c r="T129" t="n">
        <v>34</v>
      </c>
      <c r="U129" t="inlineStr">
        <is>
          <t>2002-03-26</t>
        </is>
      </c>
      <c r="V129" t="inlineStr">
        <is>
          <t>2006-10-02</t>
        </is>
      </c>
      <c r="W129" t="inlineStr">
        <is>
          <t>1997-02-18</t>
        </is>
      </c>
      <c r="X129" t="inlineStr">
        <is>
          <t>2000-03-16</t>
        </is>
      </c>
      <c r="Y129" t="n">
        <v>659</v>
      </c>
      <c r="Z129" t="n">
        <v>514</v>
      </c>
      <c r="AA129" t="n">
        <v>1398</v>
      </c>
      <c r="AB129" t="n">
        <v>4</v>
      </c>
      <c r="AC129" t="n">
        <v>14</v>
      </c>
      <c r="AD129" t="n">
        <v>36</v>
      </c>
      <c r="AE129" t="n">
        <v>73</v>
      </c>
      <c r="AF129" t="n">
        <v>11</v>
      </c>
      <c r="AG129" t="n">
        <v>22</v>
      </c>
      <c r="AH129" t="n">
        <v>8</v>
      </c>
      <c r="AI129" t="n">
        <v>12</v>
      </c>
      <c r="AJ129" t="n">
        <v>19</v>
      </c>
      <c r="AK129" t="n">
        <v>28</v>
      </c>
      <c r="AL129" t="n">
        <v>1</v>
      </c>
      <c r="AM129" t="n">
        <v>10</v>
      </c>
      <c r="AN129" t="n">
        <v>8</v>
      </c>
      <c r="AO129" t="n">
        <v>14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HYPERLINK("http://catalog.hathitrust.org/Record/003019249","HathiTrust Record")</f>
        <v/>
      </c>
      <c r="AS129">
        <f>HYPERLINK("https://creighton-primo.hosted.exlibrisgroup.com/primo-explore/search?tab=default_tab&amp;search_scope=EVERYTHING&amp;vid=01CRU&amp;lang=en_US&amp;offset=0&amp;query=any,contains,991001664979702656","Catalog Record")</f>
        <v/>
      </c>
      <c r="AT129">
        <f>HYPERLINK("http://www.worldcat.org/oclc/31646988","WorldCat Record")</f>
        <v/>
      </c>
    </row>
    <row r="130">
      <c r="A130" t="inlineStr">
        <is>
          <t>No</t>
        </is>
      </c>
      <c r="B130" t="inlineStr">
        <is>
          <t>R724 .E7879 2000</t>
        </is>
      </c>
      <c r="C130" t="inlineStr">
        <is>
          <t>0                      R  0724000E  7879        2000</t>
        </is>
      </c>
      <c r="D130" t="inlineStr">
        <is>
          <t>Ethical issues in health care on the frontiers of the twenty-first century / edited by Stephen Wear ... [et al.].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Dordrecht ; Boston, Mass : Kluwer Academic, c2000.</t>
        </is>
      </c>
      <c r="M130" t="inlineStr">
        <is>
          <t>2000</t>
        </is>
      </c>
      <c r="O130" t="inlineStr">
        <is>
          <t>eng</t>
        </is>
      </c>
      <c r="P130" t="inlineStr">
        <is>
          <t xml:space="preserve">ne </t>
        </is>
      </c>
      <c r="Q130" t="inlineStr">
        <is>
          <t>Philosophy and medicine ; v. 65</t>
        </is>
      </c>
      <c r="R130" t="inlineStr">
        <is>
          <t xml:space="preserve">R  </t>
        </is>
      </c>
      <c r="S130" t="n">
        <v>9</v>
      </c>
      <c r="T130" t="n">
        <v>9</v>
      </c>
      <c r="U130" t="inlineStr">
        <is>
          <t>2008-06-04</t>
        </is>
      </c>
      <c r="V130" t="inlineStr">
        <is>
          <t>2008-06-04</t>
        </is>
      </c>
      <c r="W130" t="inlineStr">
        <is>
          <t>2001-04-16</t>
        </is>
      </c>
      <c r="X130" t="inlineStr">
        <is>
          <t>2001-04-16</t>
        </is>
      </c>
      <c r="Y130" t="n">
        <v>230</v>
      </c>
      <c r="Z130" t="n">
        <v>176</v>
      </c>
      <c r="AA130" t="n">
        <v>559</v>
      </c>
      <c r="AB130" t="n">
        <v>1</v>
      </c>
      <c r="AC130" t="n">
        <v>1</v>
      </c>
      <c r="AD130" t="n">
        <v>17</v>
      </c>
      <c r="AE130" t="n">
        <v>21</v>
      </c>
      <c r="AF130" t="n">
        <v>5</v>
      </c>
      <c r="AG130" t="n">
        <v>7</v>
      </c>
      <c r="AH130" t="n">
        <v>7</v>
      </c>
      <c r="AI130" t="n">
        <v>7</v>
      </c>
      <c r="AJ130" t="n">
        <v>12</v>
      </c>
      <c r="AK130" t="n">
        <v>14</v>
      </c>
      <c r="AL130" t="n">
        <v>0</v>
      </c>
      <c r="AM130" t="n">
        <v>0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HYPERLINK("https://creighton-primo.hosted.exlibrisgroup.com/primo-explore/search?tab=default_tab&amp;search_scope=EVERYTHING&amp;vid=01CRU&amp;lang=en_US&amp;offset=0&amp;query=any,contains,991003489359702656","Catalog Record")</f>
        <v/>
      </c>
      <c r="AT130">
        <f>HYPERLINK("http://www.worldcat.org/oclc/43751601","WorldCat Record")</f>
        <v/>
      </c>
    </row>
    <row r="131">
      <c r="A131" t="inlineStr">
        <is>
          <t>No</t>
        </is>
      </c>
      <c r="B131" t="inlineStr">
        <is>
          <t>R724 .E788</t>
        </is>
      </c>
      <c r="C131" t="inlineStr">
        <is>
          <t>0                      R  0724000E  788</t>
        </is>
      </c>
      <c r="D131" t="inlineStr">
        <is>
          <t>Ethical issues in modern medicine / edited, with introd. by Robert Hunt and John Arras.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L131" t="inlineStr">
        <is>
          <t>Palo Alto, Calif. : Mayfield Pub. Co., 1977.</t>
        </is>
      </c>
      <c r="M131" t="inlineStr">
        <is>
          <t>1977</t>
        </is>
      </c>
      <c r="N131" t="inlineStr">
        <is>
          <t>1st ed.</t>
        </is>
      </c>
      <c r="O131" t="inlineStr">
        <is>
          <t>eng</t>
        </is>
      </c>
      <c r="P131" t="inlineStr">
        <is>
          <t>cau</t>
        </is>
      </c>
      <c r="R131" t="inlineStr">
        <is>
          <t xml:space="preserve">R  </t>
        </is>
      </c>
      <c r="S131" t="n">
        <v>36</v>
      </c>
      <c r="T131" t="n">
        <v>36</v>
      </c>
      <c r="U131" t="inlineStr">
        <is>
          <t>2001-05-14</t>
        </is>
      </c>
      <c r="V131" t="inlineStr">
        <is>
          <t>2001-05-14</t>
        </is>
      </c>
      <c r="W131" t="inlineStr">
        <is>
          <t>1990-02-06</t>
        </is>
      </c>
      <c r="X131" t="inlineStr">
        <is>
          <t>1990-02-06</t>
        </is>
      </c>
      <c r="Y131" t="n">
        <v>436</v>
      </c>
      <c r="Z131" t="n">
        <v>378</v>
      </c>
      <c r="AA131" t="n">
        <v>773</v>
      </c>
      <c r="AB131" t="n">
        <v>3</v>
      </c>
      <c r="AC131" t="n">
        <v>7</v>
      </c>
      <c r="AD131" t="n">
        <v>21</v>
      </c>
      <c r="AE131" t="n">
        <v>43</v>
      </c>
      <c r="AF131" t="n">
        <v>4</v>
      </c>
      <c r="AG131" t="n">
        <v>13</v>
      </c>
      <c r="AH131" t="n">
        <v>3</v>
      </c>
      <c r="AI131" t="n">
        <v>8</v>
      </c>
      <c r="AJ131" t="n">
        <v>11</v>
      </c>
      <c r="AK131" t="n">
        <v>23</v>
      </c>
      <c r="AL131" t="n">
        <v>2</v>
      </c>
      <c r="AM131" t="n">
        <v>4</v>
      </c>
      <c r="AN131" t="n">
        <v>6</v>
      </c>
      <c r="AO131" t="n">
        <v>8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HYPERLINK("https://creighton-primo.hosted.exlibrisgroup.com/primo-explore/search?tab=default_tab&amp;search_scope=EVERYTHING&amp;vid=01CRU&amp;lang=en_US&amp;offset=0&amp;query=any,contains,991004436499702656","Catalog Record")</f>
        <v/>
      </c>
      <c r="AT131">
        <f>HYPERLINK("http://www.worldcat.org/oclc/3444644","WorldCat Record")</f>
        <v/>
      </c>
    </row>
    <row r="132">
      <c r="A132" t="inlineStr">
        <is>
          <t>No</t>
        </is>
      </c>
      <c r="B132" t="inlineStr">
        <is>
          <t>R724 .E823</t>
        </is>
      </c>
      <c r="C132" t="inlineStr">
        <is>
          <t>0                      R  0724000E  823</t>
        </is>
      </c>
      <c r="D132" t="inlineStr">
        <is>
          <t>Ethics in medicine : historical perspectives and contemporary concerns / edited by Stanley Joel Reiser, Arthur J. Dyck, and William J. Curran.</t>
        </is>
      </c>
      <c r="F132" t="inlineStr">
        <is>
          <t>No</t>
        </is>
      </c>
      <c r="G132" t="inlineStr">
        <is>
          <t>1</t>
        </is>
      </c>
      <c r="H132" t="inlineStr">
        <is>
          <t>Yes</t>
        </is>
      </c>
      <c r="I132" t="inlineStr">
        <is>
          <t>No</t>
        </is>
      </c>
      <c r="J132" t="inlineStr">
        <is>
          <t>0</t>
        </is>
      </c>
      <c r="L132" t="inlineStr">
        <is>
          <t>Cambridge, Mass. : MIT Press, c1977.</t>
        </is>
      </c>
      <c r="M132" t="inlineStr">
        <is>
          <t>1977</t>
        </is>
      </c>
      <c r="O132" t="inlineStr">
        <is>
          <t>eng</t>
        </is>
      </c>
      <c r="P132" t="inlineStr">
        <is>
          <t>mau</t>
        </is>
      </c>
      <c r="R132" t="inlineStr">
        <is>
          <t xml:space="preserve">R  </t>
        </is>
      </c>
      <c r="S132" t="n">
        <v>8</v>
      </c>
      <c r="T132" t="n">
        <v>19</v>
      </c>
      <c r="U132" t="inlineStr">
        <is>
          <t>2008-06-04</t>
        </is>
      </c>
      <c r="V132" t="inlineStr">
        <is>
          <t>2008-06-04</t>
        </is>
      </c>
      <c r="W132" t="inlineStr">
        <is>
          <t>1993-04-28</t>
        </is>
      </c>
      <c r="X132" t="inlineStr">
        <is>
          <t>1993-04-28</t>
        </is>
      </c>
      <c r="Y132" t="n">
        <v>971</v>
      </c>
      <c r="Z132" t="n">
        <v>833</v>
      </c>
      <c r="AA132" t="n">
        <v>850</v>
      </c>
      <c r="AB132" t="n">
        <v>4</v>
      </c>
      <c r="AC132" t="n">
        <v>4</v>
      </c>
      <c r="AD132" t="n">
        <v>46</v>
      </c>
      <c r="AE132" t="n">
        <v>46</v>
      </c>
      <c r="AF132" t="n">
        <v>16</v>
      </c>
      <c r="AG132" t="n">
        <v>16</v>
      </c>
      <c r="AH132" t="n">
        <v>8</v>
      </c>
      <c r="AI132" t="n">
        <v>8</v>
      </c>
      <c r="AJ132" t="n">
        <v>19</v>
      </c>
      <c r="AK132" t="n">
        <v>19</v>
      </c>
      <c r="AL132" t="n">
        <v>2</v>
      </c>
      <c r="AM132" t="n">
        <v>2</v>
      </c>
      <c r="AN132" t="n">
        <v>10</v>
      </c>
      <c r="AO132" t="n">
        <v>10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HYPERLINK("http://catalog.hathitrust.org/Record/000173223","HathiTrust Record")</f>
        <v/>
      </c>
      <c r="AS132">
        <f>HYPERLINK("https://creighton-primo.hosted.exlibrisgroup.com/primo-explore/search?tab=default_tab&amp;search_scope=EVERYTHING&amp;vid=01CRU&amp;lang=en_US&amp;offset=0&amp;query=any,contains,991001788119702656","Catalog Record")</f>
        <v/>
      </c>
      <c r="AT132">
        <f>HYPERLINK("http://www.worldcat.org/oclc/2797893","WorldCat Record")</f>
        <v/>
      </c>
    </row>
    <row r="133">
      <c r="A133" t="inlineStr">
        <is>
          <t>No</t>
        </is>
      </c>
      <c r="B133" t="inlineStr">
        <is>
          <t>R724 .F5 1956</t>
        </is>
      </c>
      <c r="C133" t="inlineStr">
        <is>
          <t>0                      R  0724000F  5           1956</t>
        </is>
      </c>
      <c r="D133" t="inlineStr">
        <is>
          <t>Moral problems in hospital practice : a practical handbook / Patrick A. Finney.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Finney, Patrick A.</t>
        </is>
      </c>
      <c r="L133" t="inlineStr">
        <is>
          <t>St. Louis : Herder, [c1956]</t>
        </is>
      </c>
      <c r="M133" t="inlineStr">
        <is>
          <t>1956</t>
        </is>
      </c>
      <c r="N133" t="inlineStr">
        <is>
          <t>Rev. and enl. by Patrick O'Brien.</t>
        </is>
      </c>
      <c r="O133" t="inlineStr">
        <is>
          <t>eng</t>
        </is>
      </c>
      <c r="P133" t="inlineStr">
        <is>
          <t xml:space="preserve">xx </t>
        </is>
      </c>
      <c r="R133" t="inlineStr">
        <is>
          <t xml:space="preserve">R  </t>
        </is>
      </c>
      <c r="S133" t="n">
        <v>1</v>
      </c>
      <c r="T133" t="n">
        <v>1</v>
      </c>
      <c r="U133" t="inlineStr">
        <is>
          <t>2001-04-10</t>
        </is>
      </c>
      <c r="V133" t="inlineStr">
        <is>
          <t>2001-04-10</t>
        </is>
      </c>
      <c r="W133" t="inlineStr">
        <is>
          <t>1993-03-08</t>
        </is>
      </c>
      <c r="X133" t="inlineStr">
        <is>
          <t>1993-03-08</t>
        </is>
      </c>
      <c r="Y133" t="n">
        <v>88</v>
      </c>
      <c r="Z133" t="n">
        <v>77</v>
      </c>
      <c r="AA133" t="n">
        <v>305</v>
      </c>
      <c r="AB133" t="n">
        <v>1</v>
      </c>
      <c r="AC133" t="n">
        <v>3</v>
      </c>
      <c r="AD133" t="n">
        <v>11</v>
      </c>
      <c r="AE133" t="n">
        <v>29</v>
      </c>
      <c r="AF133" t="n">
        <v>1</v>
      </c>
      <c r="AG133" t="n">
        <v>8</v>
      </c>
      <c r="AH133" t="n">
        <v>2</v>
      </c>
      <c r="AI133" t="n">
        <v>6</v>
      </c>
      <c r="AJ133" t="n">
        <v>7</v>
      </c>
      <c r="AK133" t="n">
        <v>13</v>
      </c>
      <c r="AL133" t="n">
        <v>0</v>
      </c>
      <c r="AM133" t="n">
        <v>1</v>
      </c>
      <c r="AN133" t="n">
        <v>2</v>
      </c>
      <c r="AO133" t="n">
        <v>7</v>
      </c>
      <c r="AP133" t="inlineStr">
        <is>
          <t>Yes</t>
        </is>
      </c>
      <c r="AQ133" t="inlineStr">
        <is>
          <t>No</t>
        </is>
      </c>
      <c r="AR133">
        <f>HYPERLINK("http://catalog.hathitrust.org/Record/001557824","HathiTrust Record")</f>
        <v/>
      </c>
      <c r="AS133">
        <f>HYPERLINK("https://creighton-primo.hosted.exlibrisgroup.com/primo-explore/search?tab=default_tab&amp;search_scope=EVERYTHING&amp;vid=01CRU&amp;lang=en_US&amp;offset=0&amp;query=any,contains,991003814979702656","Catalog Record")</f>
        <v/>
      </c>
      <c r="AT133">
        <f>HYPERLINK("http://www.worldcat.org/oclc/1546178","WorldCat Record")</f>
        <v/>
      </c>
    </row>
    <row r="134">
      <c r="A134" t="inlineStr">
        <is>
          <t>No</t>
        </is>
      </c>
      <c r="B134" t="inlineStr">
        <is>
          <t>R724 .F54</t>
        </is>
      </c>
      <c r="C134" t="inlineStr">
        <is>
          <t>0                      R  0724000F  54</t>
        </is>
      </c>
      <c r="D134" t="inlineStr">
        <is>
          <t>Humanhood : essays in biomedical ethics / Joseph Fletcher.</t>
        </is>
      </c>
      <c r="F134" t="inlineStr">
        <is>
          <t>No</t>
        </is>
      </c>
      <c r="G134" t="inlineStr">
        <is>
          <t>1</t>
        </is>
      </c>
      <c r="H134" t="inlineStr">
        <is>
          <t>Yes</t>
        </is>
      </c>
      <c r="I134" t="inlineStr">
        <is>
          <t>No</t>
        </is>
      </c>
      <c r="J134" t="inlineStr">
        <is>
          <t>0</t>
        </is>
      </c>
      <c r="K134" t="inlineStr">
        <is>
          <t>Fletcher, Joseph F.</t>
        </is>
      </c>
      <c r="L134" t="inlineStr">
        <is>
          <t>New York : Prometheus Books, c1979.</t>
        </is>
      </c>
      <c r="M134" t="inlineStr">
        <is>
          <t>1979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R  </t>
        </is>
      </c>
      <c r="S134" t="n">
        <v>25</v>
      </c>
      <c r="T134" t="n">
        <v>31</v>
      </c>
      <c r="U134" t="inlineStr">
        <is>
          <t>2000-08-31</t>
        </is>
      </c>
      <c r="V134" t="inlineStr">
        <is>
          <t>2000-08-31</t>
        </is>
      </c>
      <c r="W134" t="inlineStr">
        <is>
          <t>1992-09-10</t>
        </is>
      </c>
      <c r="X134" t="inlineStr">
        <is>
          <t>1992-09-10</t>
        </is>
      </c>
      <c r="Y134" t="n">
        <v>940</v>
      </c>
      <c r="Z134" t="n">
        <v>824</v>
      </c>
      <c r="AA134" t="n">
        <v>830</v>
      </c>
      <c r="AB134" t="n">
        <v>4</v>
      </c>
      <c r="AC134" t="n">
        <v>4</v>
      </c>
      <c r="AD134" t="n">
        <v>31</v>
      </c>
      <c r="AE134" t="n">
        <v>31</v>
      </c>
      <c r="AF134" t="n">
        <v>12</v>
      </c>
      <c r="AG134" t="n">
        <v>12</v>
      </c>
      <c r="AH134" t="n">
        <v>7</v>
      </c>
      <c r="AI134" t="n">
        <v>7</v>
      </c>
      <c r="AJ134" t="n">
        <v>16</v>
      </c>
      <c r="AK134" t="n">
        <v>16</v>
      </c>
      <c r="AL134" t="n">
        <v>2</v>
      </c>
      <c r="AM134" t="n">
        <v>2</v>
      </c>
      <c r="AN134" t="n">
        <v>1</v>
      </c>
      <c r="AO134" t="n">
        <v>1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HYPERLINK("http://catalog.hathitrust.org/Record/000301063","HathiTrust Record")</f>
        <v/>
      </c>
      <c r="AS134">
        <f>HYPERLINK("https://creighton-primo.hosted.exlibrisgroup.com/primo-explore/search?tab=default_tab&amp;search_scope=EVERYTHING&amp;vid=01CRU&amp;lang=en_US&amp;offset=0&amp;query=any,contains,991001789299702656","Catalog Record")</f>
        <v/>
      </c>
      <c r="AT134">
        <f>HYPERLINK("http://www.worldcat.org/oclc/4946250","WorldCat Record")</f>
        <v/>
      </c>
    </row>
    <row r="135">
      <c r="A135" t="inlineStr">
        <is>
          <t>No</t>
        </is>
      </c>
      <c r="B135" t="inlineStr">
        <is>
          <t>R724 .F55 1960</t>
        </is>
      </c>
      <c r="C135" t="inlineStr">
        <is>
          <t>0                      R  0724000F  55          1960</t>
        </is>
      </c>
      <c r="D135" t="inlineStr">
        <is>
          <t>Morals and medicine : the moral problems of: the patient's right to know the truth, contraception, artificial insemination, sterilization, euthanasia / With a foreword by Karl Menninger.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Fletcher, Joseph F.</t>
        </is>
      </c>
      <c r="L135" t="inlineStr">
        <is>
          <t>Boston : Beacon Press, [1960]</t>
        </is>
      </c>
      <c r="M135" t="inlineStr">
        <is>
          <t>1960</t>
        </is>
      </c>
      <c r="O135" t="inlineStr">
        <is>
          <t>eng</t>
        </is>
      </c>
      <c r="P135" t="inlineStr">
        <is>
          <t>mau</t>
        </is>
      </c>
      <c r="Q135" t="inlineStr">
        <is>
          <t>Beacon series in liberal religion ; LR7</t>
        </is>
      </c>
      <c r="R135" t="inlineStr">
        <is>
          <t xml:space="preserve">R  </t>
        </is>
      </c>
      <c r="S135" t="n">
        <v>29</v>
      </c>
      <c r="T135" t="n">
        <v>29</v>
      </c>
      <c r="U135" t="inlineStr">
        <is>
          <t>2003-03-31</t>
        </is>
      </c>
      <c r="V135" t="inlineStr">
        <is>
          <t>2003-03-31</t>
        </is>
      </c>
      <c r="W135" t="inlineStr">
        <is>
          <t>1994-05-06</t>
        </is>
      </c>
      <c r="X135" t="inlineStr">
        <is>
          <t>1994-05-06</t>
        </is>
      </c>
      <c r="Y135" t="n">
        <v>389</v>
      </c>
      <c r="Z135" t="n">
        <v>354</v>
      </c>
      <c r="AA135" t="n">
        <v>1090</v>
      </c>
      <c r="AB135" t="n">
        <v>2</v>
      </c>
      <c r="AC135" t="n">
        <v>8</v>
      </c>
      <c r="AD135" t="n">
        <v>17</v>
      </c>
      <c r="AE135" t="n">
        <v>51</v>
      </c>
      <c r="AF135" t="n">
        <v>4</v>
      </c>
      <c r="AG135" t="n">
        <v>21</v>
      </c>
      <c r="AH135" t="n">
        <v>4</v>
      </c>
      <c r="AI135" t="n">
        <v>10</v>
      </c>
      <c r="AJ135" t="n">
        <v>9</v>
      </c>
      <c r="AK135" t="n">
        <v>20</v>
      </c>
      <c r="AL135" t="n">
        <v>1</v>
      </c>
      <c r="AM135" t="n">
        <v>4</v>
      </c>
      <c r="AN135" t="n">
        <v>2</v>
      </c>
      <c r="AO135" t="n">
        <v>8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HYPERLINK("http://catalog.hathitrust.org/Record/002239038","HathiTrust Record")</f>
        <v/>
      </c>
      <c r="AS135">
        <f>HYPERLINK("https://creighton-primo.hosted.exlibrisgroup.com/primo-explore/search?tab=default_tab&amp;search_scope=EVERYTHING&amp;vid=01CRU&amp;lang=en_US&amp;offset=0&amp;query=any,contains,991002101679702656","Catalog Record")</f>
        <v/>
      </c>
      <c r="AT135">
        <f>HYPERLINK("http://www.worldcat.org/oclc/266371","WorldCat Record")</f>
        <v/>
      </c>
    </row>
    <row r="136">
      <c r="A136" t="inlineStr">
        <is>
          <t>No</t>
        </is>
      </c>
      <c r="B136" t="inlineStr">
        <is>
          <t>R724 .F68</t>
        </is>
      </c>
      <c r="C136" t="inlineStr">
        <is>
          <t>0                      R  0724000F  68</t>
        </is>
      </c>
      <c r="D136" t="inlineStr">
        <is>
          <t>Is it moral to modify man? Edited by Claude A. Frazier. With forewords by Joseph Fletcher, C. A. Hoffman [and] Cecil E. Sherman.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Frazier, Claude A. (Claude Albee), 1920-2005.</t>
        </is>
      </c>
      <c r="L136" t="inlineStr">
        <is>
          <t>Springfield, Ill., Thomas [1973]</t>
        </is>
      </c>
      <c r="M136" t="inlineStr">
        <is>
          <t>1973</t>
        </is>
      </c>
      <c r="O136" t="inlineStr">
        <is>
          <t>eng</t>
        </is>
      </c>
      <c r="P136" t="inlineStr">
        <is>
          <t>ilu</t>
        </is>
      </c>
      <c r="R136" t="inlineStr">
        <is>
          <t xml:space="preserve">R  </t>
        </is>
      </c>
      <c r="S136" t="n">
        <v>2</v>
      </c>
      <c r="T136" t="n">
        <v>2</v>
      </c>
      <c r="U136" t="inlineStr">
        <is>
          <t>2004-04-05</t>
        </is>
      </c>
      <c r="V136" t="inlineStr">
        <is>
          <t>2004-04-05</t>
        </is>
      </c>
      <c r="W136" t="inlineStr">
        <is>
          <t>1997-08-07</t>
        </is>
      </c>
      <c r="X136" t="inlineStr">
        <is>
          <t>1997-08-07</t>
        </is>
      </c>
      <c r="Y136" t="n">
        <v>553</v>
      </c>
      <c r="Z136" t="n">
        <v>498</v>
      </c>
      <c r="AA136" t="n">
        <v>500</v>
      </c>
      <c r="AB136" t="n">
        <v>3</v>
      </c>
      <c r="AC136" t="n">
        <v>3</v>
      </c>
      <c r="AD136" t="n">
        <v>13</v>
      </c>
      <c r="AE136" t="n">
        <v>13</v>
      </c>
      <c r="AF136" t="n">
        <v>5</v>
      </c>
      <c r="AG136" t="n">
        <v>5</v>
      </c>
      <c r="AH136" t="n">
        <v>3</v>
      </c>
      <c r="AI136" t="n">
        <v>3</v>
      </c>
      <c r="AJ136" t="n">
        <v>7</v>
      </c>
      <c r="AK136" t="n">
        <v>7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HYPERLINK("http://catalog.hathitrust.org/Record/001557826","HathiTrust Record")</f>
        <v/>
      </c>
      <c r="AS136">
        <f>HYPERLINK("https://creighton-primo.hosted.exlibrisgroup.com/primo-explore/search?tab=default_tab&amp;search_scope=EVERYTHING&amp;vid=01CRU&amp;lang=en_US&amp;offset=0&amp;query=any,contains,991003254279702656","Catalog Record")</f>
        <v/>
      </c>
      <c r="AT136">
        <f>HYPERLINK("http://www.worldcat.org/oclc/779150","WorldCat Record")</f>
        <v/>
      </c>
    </row>
    <row r="137">
      <c r="A137" t="inlineStr">
        <is>
          <t>No</t>
        </is>
      </c>
      <c r="B137" t="inlineStr">
        <is>
          <t>R724 .F76</t>
        </is>
      </c>
      <c r="C137" t="inlineStr">
        <is>
          <t>0                      R  0724000F  76</t>
        </is>
      </c>
      <c r="D137" t="inlineStr">
        <is>
          <t>Frontiers in medical ethics : applications in a medical setting / Virginia Abernethy, editor.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Cambridge, Mass. : Ballinger Pub., c1980.</t>
        </is>
      </c>
      <c r="M137" t="inlineStr">
        <is>
          <t>1980</t>
        </is>
      </c>
      <c r="O137" t="inlineStr">
        <is>
          <t>eng</t>
        </is>
      </c>
      <c r="P137" t="inlineStr">
        <is>
          <t>mau</t>
        </is>
      </c>
      <c r="R137" t="inlineStr">
        <is>
          <t xml:space="preserve">R  </t>
        </is>
      </c>
      <c r="S137" t="n">
        <v>2</v>
      </c>
      <c r="T137" t="n">
        <v>2</v>
      </c>
      <c r="U137" t="inlineStr">
        <is>
          <t>1994-01-23</t>
        </is>
      </c>
      <c r="V137" t="inlineStr">
        <is>
          <t>1994-01-23</t>
        </is>
      </c>
      <c r="W137" t="inlineStr">
        <is>
          <t>1993-03-08</t>
        </is>
      </c>
      <c r="X137" t="inlineStr">
        <is>
          <t>1993-03-08</t>
        </is>
      </c>
      <c r="Y137" t="n">
        <v>345</v>
      </c>
      <c r="Z137" t="n">
        <v>302</v>
      </c>
      <c r="AA137" t="n">
        <v>306</v>
      </c>
      <c r="AB137" t="n">
        <v>1</v>
      </c>
      <c r="AC137" t="n">
        <v>1</v>
      </c>
      <c r="AD137" t="n">
        <v>20</v>
      </c>
      <c r="AE137" t="n">
        <v>20</v>
      </c>
      <c r="AF137" t="n">
        <v>5</v>
      </c>
      <c r="AG137" t="n">
        <v>5</v>
      </c>
      <c r="AH137" t="n">
        <v>4</v>
      </c>
      <c r="AI137" t="n">
        <v>4</v>
      </c>
      <c r="AJ137" t="n">
        <v>9</v>
      </c>
      <c r="AK137" t="n">
        <v>9</v>
      </c>
      <c r="AL137" t="n">
        <v>0</v>
      </c>
      <c r="AM137" t="n">
        <v>0</v>
      </c>
      <c r="AN137" t="n">
        <v>5</v>
      </c>
      <c r="AO137" t="n">
        <v>5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HYPERLINK("https://creighton-primo.hosted.exlibrisgroup.com/primo-explore/search?tab=default_tab&amp;search_scope=EVERYTHING&amp;vid=01CRU&amp;lang=en_US&amp;offset=0&amp;query=any,contains,991004858809702656","Catalog Record")</f>
        <v/>
      </c>
      <c r="AT137">
        <f>HYPERLINK("http://www.worldcat.org/oclc/5677927","WorldCat Record")</f>
        <v/>
      </c>
    </row>
    <row r="138">
      <c r="A138" t="inlineStr">
        <is>
          <t>No</t>
        </is>
      </c>
      <c r="B138" t="inlineStr">
        <is>
          <t>R724 .G46 1997</t>
        </is>
      </c>
      <c r="C138" t="inlineStr">
        <is>
          <t>0                      R  0724000G  46          1997</t>
        </is>
      </c>
      <c r="D138" t="inlineStr">
        <is>
          <t>Bioethics : a return to fundamentals / Bernard Gert, Charles M. Culver, K. Danner Clouser.</t>
        </is>
      </c>
      <c r="F138" t="inlineStr">
        <is>
          <t>No</t>
        </is>
      </c>
      <c r="G138" t="inlineStr">
        <is>
          <t>1</t>
        </is>
      </c>
      <c r="H138" t="inlineStr">
        <is>
          <t>Yes</t>
        </is>
      </c>
      <c r="I138" t="inlineStr">
        <is>
          <t>No</t>
        </is>
      </c>
      <c r="J138" t="inlineStr">
        <is>
          <t>0</t>
        </is>
      </c>
      <c r="K138" t="inlineStr">
        <is>
          <t>Gert, Bernard, 1934-</t>
        </is>
      </c>
      <c r="L138" t="inlineStr">
        <is>
          <t>New York : Oxford University Press, 1997.</t>
        </is>
      </c>
      <c r="M138" t="inlineStr">
        <is>
          <t>1997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R  </t>
        </is>
      </c>
      <c r="S138" t="n">
        <v>16</v>
      </c>
      <c r="T138" t="n">
        <v>16</v>
      </c>
      <c r="U138" t="inlineStr">
        <is>
          <t>2003-04-25</t>
        </is>
      </c>
      <c r="V138" t="inlineStr">
        <is>
          <t>2003-04-25</t>
        </is>
      </c>
      <c r="W138" t="inlineStr">
        <is>
          <t>1998-11-17</t>
        </is>
      </c>
      <c r="X138" t="inlineStr">
        <is>
          <t>1998-11-17</t>
        </is>
      </c>
      <c r="Y138" t="n">
        <v>574</v>
      </c>
      <c r="Z138" t="n">
        <v>486</v>
      </c>
      <c r="AA138" t="n">
        <v>823</v>
      </c>
      <c r="AB138" t="n">
        <v>3</v>
      </c>
      <c r="AC138" t="n">
        <v>7</v>
      </c>
      <c r="AD138" t="n">
        <v>34</v>
      </c>
      <c r="AE138" t="n">
        <v>49</v>
      </c>
      <c r="AF138" t="n">
        <v>9</v>
      </c>
      <c r="AG138" t="n">
        <v>15</v>
      </c>
      <c r="AH138" t="n">
        <v>5</v>
      </c>
      <c r="AI138" t="n">
        <v>9</v>
      </c>
      <c r="AJ138" t="n">
        <v>15</v>
      </c>
      <c r="AK138" t="n">
        <v>17</v>
      </c>
      <c r="AL138" t="n">
        <v>0</v>
      </c>
      <c r="AM138" t="n">
        <v>4</v>
      </c>
      <c r="AN138" t="n">
        <v>11</v>
      </c>
      <c r="AO138" t="n">
        <v>12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HYPERLINK("https://creighton-primo.hosted.exlibrisgroup.com/primo-explore/search?tab=default_tab&amp;search_scope=EVERYTHING&amp;vid=01CRU&amp;lang=en_US&amp;offset=0&amp;query=any,contains,991001673689702656","Catalog Record")</f>
        <v/>
      </c>
      <c r="AT138">
        <f>HYPERLINK("http://www.worldcat.org/oclc/35758149","WorldCat Record")</f>
        <v/>
      </c>
    </row>
    <row r="139">
      <c r="A139" t="inlineStr">
        <is>
          <t>No</t>
        </is>
      </c>
      <c r="B139" t="inlineStr">
        <is>
          <t>R724 .G549 2004</t>
        </is>
      </c>
      <c r="C139" t="inlineStr">
        <is>
          <t>0                      R  0724000G  549         2004</t>
        </is>
      </c>
      <c r="D139" t="inlineStr">
        <is>
          <t>Bioethics in the clinic : Hippocratic reflections / Grant R. Gillett.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Gillett, Grant, 1950-</t>
        </is>
      </c>
      <c r="L139" t="inlineStr">
        <is>
          <t>Baltimore : Johns Hopkins University Press, c2004.</t>
        </is>
      </c>
      <c r="M139" t="inlineStr">
        <is>
          <t>2004</t>
        </is>
      </c>
      <c r="O139" t="inlineStr">
        <is>
          <t>eng</t>
        </is>
      </c>
      <c r="P139" t="inlineStr">
        <is>
          <t>mdu</t>
        </is>
      </c>
      <c r="R139" t="inlineStr">
        <is>
          <t xml:space="preserve">R  </t>
        </is>
      </c>
      <c r="S139" t="n">
        <v>10</v>
      </c>
      <c r="T139" t="n">
        <v>10</v>
      </c>
      <c r="U139" t="inlineStr">
        <is>
          <t>2008-04-06</t>
        </is>
      </c>
      <c r="V139" t="inlineStr">
        <is>
          <t>2008-04-06</t>
        </is>
      </c>
      <c r="W139" t="inlineStr">
        <is>
          <t>2006-07-17</t>
        </is>
      </c>
      <c r="X139" t="inlineStr">
        <is>
          <t>2006-07-17</t>
        </is>
      </c>
      <c r="Y139" t="n">
        <v>474</v>
      </c>
      <c r="Z139" t="n">
        <v>404</v>
      </c>
      <c r="AA139" t="n">
        <v>411</v>
      </c>
      <c r="AB139" t="n">
        <v>4</v>
      </c>
      <c r="AC139" t="n">
        <v>4</v>
      </c>
      <c r="AD139" t="n">
        <v>26</v>
      </c>
      <c r="AE139" t="n">
        <v>26</v>
      </c>
      <c r="AF139" t="n">
        <v>12</v>
      </c>
      <c r="AG139" t="n">
        <v>12</v>
      </c>
      <c r="AH139" t="n">
        <v>4</v>
      </c>
      <c r="AI139" t="n">
        <v>4</v>
      </c>
      <c r="AJ139" t="n">
        <v>14</v>
      </c>
      <c r="AK139" t="n">
        <v>14</v>
      </c>
      <c r="AL139" t="n">
        <v>3</v>
      </c>
      <c r="AM139" t="n">
        <v>3</v>
      </c>
      <c r="AN139" t="n">
        <v>1</v>
      </c>
      <c r="AO139" t="n">
        <v>1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HYPERLINK("http://catalog.hathitrust.org/Record/004379792","HathiTrust Record")</f>
        <v/>
      </c>
      <c r="AS139">
        <f>HYPERLINK("https://creighton-primo.hosted.exlibrisgroup.com/primo-explore/search?tab=default_tab&amp;search_scope=EVERYTHING&amp;vid=01CRU&amp;lang=en_US&amp;offset=0&amp;query=any,contains,991004845219702656","Catalog Record")</f>
        <v/>
      </c>
      <c r="AT139">
        <f>HYPERLINK("http://www.worldcat.org/oclc/52595487","WorldCat Record")</f>
        <v/>
      </c>
    </row>
    <row r="140">
      <c r="A140" t="inlineStr">
        <is>
          <t>No</t>
        </is>
      </c>
      <c r="B140" t="inlineStr">
        <is>
          <t>R724 .G68</t>
        </is>
      </c>
      <c r="C140" t="inlineStr">
        <is>
          <t>0                      R  0724000G  68</t>
        </is>
      </c>
      <c r="D140" t="inlineStr">
        <is>
          <t>Doctors' dilemmas : moral conflict and medical care / Samuel Gorovitz.</t>
        </is>
      </c>
      <c r="F140" t="inlineStr">
        <is>
          <t>No</t>
        </is>
      </c>
      <c r="G140" t="inlineStr">
        <is>
          <t>1</t>
        </is>
      </c>
      <c r="H140" t="inlineStr">
        <is>
          <t>Yes</t>
        </is>
      </c>
      <c r="I140" t="inlineStr">
        <is>
          <t>No</t>
        </is>
      </c>
      <c r="J140" t="inlineStr">
        <is>
          <t>0</t>
        </is>
      </c>
      <c r="K140" t="inlineStr">
        <is>
          <t>Gorovitz, Samuel.</t>
        </is>
      </c>
      <c r="L140" t="inlineStr">
        <is>
          <t>New York : Macmillan, c1982.</t>
        </is>
      </c>
      <c r="M140" t="inlineStr">
        <is>
          <t>1982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R  </t>
        </is>
      </c>
      <c r="S140" t="n">
        <v>2</v>
      </c>
      <c r="T140" t="n">
        <v>8</v>
      </c>
      <c r="U140" t="inlineStr">
        <is>
          <t>2008-07-01</t>
        </is>
      </c>
      <c r="V140" t="inlineStr">
        <is>
          <t>2008-07-01</t>
        </is>
      </c>
      <c r="W140" t="inlineStr">
        <is>
          <t>1993-03-08</t>
        </is>
      </c>
      <c r="X140" t="inlineStr">
        <is>
          <t>1993-03-08</t>
        </is>
      </c>
      <c r="Y140" t="n">
        <v>473</v>
      </c>
      <c r="Z140" t="n">
        <v>434</v>
      </c>
      <c r="AA140" t="n">
        <v>619</v>
      </c>
      <c r="AB140" t="n">
        <v>2</v>
      </c>
      <c r="AC140" t="n">
        <v>2</v>
      </c>
      <c r="AD140" t="n">
        <v>13</v>
      </c>
      <c r="AE140" t="n">
        <v>24</v>
      </c>
      <c r="AF140" t="n">
        <v>7</v>
      </c>
      <c r="AG140" t="n">
        <v>9</v>
      </c>
      <c r="AH140" t="n">
        <v>2</v>
      </c>
      <c r="AI140" t="n">
        <v>5</v>
      </c>
      <c r="AJ140" t="n">
        <v>10</v>
      </c>
      <c r="AK140" t="n">
        <v>14</v>
      </c>
      <c r="AL140" t="n">
        <v>0</v>
      </c>
      <c r="AM140" t="n">
        <v>0</v>
      </c>
      <c r="AN140" t="n">
        <v>0</v>
      </c>
      <c r="AO140" t="n">
        <v>4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HYPERLINK("http://catalog.hathitrust.org/Record/000270643","HathiTrust Record")</f>
        <v/>
      </c>
      <c r="AS140">
        <f>HYPERLINK("https://creighton-primo.hosted.exlibrisgroup.com/primo-explore/search?tab=default_tab&amp;search_scope=EVERYTHING&amp;vid=01CRU&amp;lang=en_US&amp;offset=0&amp;query=any,contains,991001789369702656","Catalog Record")</f>
        <v/>
      </c>
      <c r="AT140">
        <f>HYPERLINK("http://www.worldcat.org/oclc/8306792","WorldCat Record")</f>
        <v/>
      </c>
    </row>
    <row r="141">
      <c r="A141" t="inlineStr">
        <is>
          <t>No</t>
        </is>
      </c>
      <c r="B141" t="inlineStr">
        <is>
          <t>R724 .H16</t>
        </is>
      </c>
      <c r="C141" t="inlineStr">
        <is>
          <t>0                      R  0724000H  16</t>
        </is>
      </c>
      <c r="D141" t="inlineStr">
        <is>
          <t>Medical ethics / [by] Bernard Häring ; edited by Gabrielle L. Jean.</t>
        </is>
      </c>
      <c r="F141" t="inlineStr">
        <is>
          <t>No</t>
        </is>
      </c>
      <c r="G141" t="inlineStr">
        <is>
          <t>1</t>
        </is>
      </c>
      <c r="H141" t="inlineStr">
        <is>
          <t>Yes</t>
        </is>
      </c>
      <c r="I141" t="inlineStr">
        <is>
          <t>No</t>
        </is>
      </c>
      <c r="J141" t="inlineStr">
        <is>
          <t>0</t>
        </is>
      </c>
      <c r="K141" t="inlineStr">
        <is>
          <t>Häring, Bernhard, 1912-1998.</t>
        </is>
      </c>
      <c r="L141" t="inlineStr">
        <is>
          <t>[Notre Dame, Ind.] : Fides Publishers, [1973]</t>
        </is>
      </c>
      <c r="M141" t="inlineStr">
        <is>
          <t>1973</t>
        </is>
      </c>
      <c r="O141" t="inlineStr">
        <is>
          <t>eng</t>
        </is>
      </c>
      <c r="P141" t="inlineStr">
        <is>
          <t>inu</t>
        </is>
      </c>
      <c r="R141" t="inlineStr">
        <is>
          <t xml:space="preserve">R  </t>
        </is>
      </c>
      <c r="S141" t="n">
        <v>20</v>
      </c>
      <c r="T141" t="n">
        <v>33</v>
      </c>
      <c r="U141" t="inlineStr">
        <is>
          <t>2010-10-04</t>
        </is>
      </c>
      <c r="V141" t="inlineStr">
        <is>
          <t>2010-10-04</t>
        </is>
      </c>
      <c r="W141" t="inlineStr">
        <is>
          <t>1990-09-20</t>
        </is>
      </c>
      <c r="X141" t="inlineStr">
        <is>
          <t>1990-09-20</t>
        </is>
      </c>
      <c r="Y141" t="n">
        <v>471</v>
      </c>
      <c r="Z141" t="n">
        <v>410</v>
      </c>
      <c r="AA141" t="n">
        <v>467</v>
      </c>
      <c r="AB141" t="n">
        <v>5</v>
      </c>
      <c r="AC141" t="n">
        <v>5</v>
      </c>
      <c r="AD141" t="n">
        <v>26</v>
      </c>
      <c r="AE141" t="n">
        <v>29</v>
      </c>
      <c r="AF141" t="n">
        <v>7</v>
      </c>
      <c r="AG141" t="n">
        <v>8</v>
      </c>
      <c r="AH141" t="n">
        <v>7</v>
      </c>
      <c r="AI141" t="n">
        <v>8</v>
      </c>
      <c r="AJ141" t="n">
        <v>18</v>
      </c>
      <c r="AK141" t="n">
        <v>20</v>
      </c>
      <c r="AL141" t="n">
        <v>1</v>
      </c>
      <c r="AM141" t="n">
        <v>1</v>
      </c>
      <c r="AN141" t="n">
        <v>1</v>
      </c>
      <c r="AO141" t="n">
        <v>1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HYPERLINK("https://creighton-primo.hosted.exlibrisgroup.com/primo-explore/search?tab=default_tab&amp;search_scope=EVERYTHING&amp;vid=01CRU&amp;lang=en_US&amp;offset=0&amp;query=any,contains,991001789509702656","Catalog Record")</f>
        <v/>
      </c>
      <c r="AT141">
        <f>HYPERLINK("http://www.worldcat.org/oclc/524317","WorldCat Record")</f>
        <v/>
      </c>
    </row>
    <row r="142">
      <c r="A142" t="inlineStr">
        <is>
          <t>No</t>
        </is>
      </c>
      <c r="B142" t="inlineStr">
        <is>
          <t>R724 .H255 1983</t>
        </is>
      </c>
      <c r="C142" t="inlineStr">
        <is>
          <t>0                      R  0724000H  255         1983</t>
        </is>
      </c>
      <c r="D142" t="inlineStr">
        <is>
          <t>Health and human values : a guide to making your own decisions / Frank Harron, John Burnside, and Tom Beauchamp.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Harron, Frank.</t>
        </is>
      </c>
      <c r="L142" t="inlineStr">
        <is>
          <t>New Haven : Yale University Press, c1983.</t>
        </is>
      </c>
      <c r="M142" t="inlineStr">
        <is>
          <t>1983</t>
        </is>
      </c>
      <c r="O142" t="inlineStr">
        <is>
          <t>eng</t>
        </is>
      </c>
      <c r="P142" t="inlineStr">
        <is>
          <t>ctu</t>
        </is>
      </c>
      <c r="R142" t="inlineStr">
        <is>
          <t xml:space="preserve">R  </t>
        </is>
      </c>
      <c r="S142" t="n">
        <v>15</v>
      </c>
      <c r="T142" t="n">
        <v>15</v>
      </c>
      <c r="U142" t="inlineStr">
        <is>
          <t>2005-10-18</t>
        </is>
      </c>
      <c r="V142" t="inlineStr">
        <is>
          <t>2005-10-18</t>
        </is>
      </c>
      <c r="W142" t="inlineStr">
        <is>
          <t>1990-07-18</t>
        </is>
      </c>
      <c r="X142" t="inlineStr">
        <is>
          <t>1990-07-18</t>
        </is>
      </c>
      <c r="Y142" t="n">
        <v>883</v>
      </c>
      <c r="Z142" t="n">
        <v>777</v>
      </c>
      <c r="AA142" t="n">
        <v>780</v>
      </c>
      <c r="AB142" t="n">
        <v>2</v>
      </c>
      <c r="AC142" t="n">
        <v>2</v>
      </c>
      <c r="AD142" t="n">
        <v>35</v>
      </c>
      <c r="AE142" t="n">
        <v>35</v>
      </c>
      <c r="AF142" t="n">
        <v>9</v>
      </c>
      <c r="AG142" t="n">
        <v>9</v>
      </c>
      <c r="AH142" t="n">
        <v>8</v>
      </c>
      <c r="AI142" t="n">
        <v>8</v>
      </c>
      <c r="AJ142" t="n">
        <v>16</v>
      </c>
      <c r="AK142" t="n">
        <v>16</v>
      </c>
      <c r="AL142" t="n">
        <v>1</v>
      </c>
      <c r="AM142" t="n">
        <v>1</v>
      </c>
      <c r="AN142" t="n">
        <v>9</v>
      </c>
      <c r="AO142" t="n">
        <v>9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HYPERLINK("https://creighton-primo.hosted.exlibrisgroup.com/primo-explore/search?tab=default_tab&amp;search_scope=EVERYTHING&amp;vid=01CRU&amp;lang=en_US&amp;offset=0&amp;query=any,contains,991000047849702656","Catalog Record")</f>
        <v/>
      </c>
      <c r="AT142">
        <f>HYPERLINK("http://www.worldcat.org/oclc/8670168","WorldCat Record")</f>
        <v/>
      </c>
    </row>
    <row r="143">
      <c r="A143" t="inlineStr">
        <is>
          <t>No</t>
        </is>
      </c>
      <c r="B143" t="inlineStr">
        <is>
          <t>R724 .H34 1987</t>
        </is>
      </c>
      <c r="C143" t="inlineStr">
        <is>
          <t>0                      R  0724000H  34          1987</t>
        </is>
      </c>
      <c r="D143" t="inlineStr">
        <is>
          <t>Health care ethics : an introduction / edited by Donald VanDeVeer and Tom Regan.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Philadelphia : Temple Univ. Press, 1987.</t>
        </is>
      </c>
      <c r="M143" t="inlineStr">
        <is>
          <t>1987</t>
        </is>
      </c>
      <c r="O143" t="inlineStr">
        <is>
          <t>eng</t>
        </is>
      </c>
      <c r="P143" t="inlineStr">
        <is>
          <t>pau</t>
        </is>
      </c>
      <c r="R143" t="inlineStr">
        <is>
          <t xml:space="preserve">R  </t>
        </is>
      </c>
      <c r="S143" t="n">
        <v>29</v>
      </c>
      <c r="T143" t="n">
        <v>29</v>
      </c>
      <c r="U143" t="inlineStr">
        <is>
          <t>2003-04-16</t>
        </is>
      </c>
      <c r="V143" t="inlineStr">
        <is>
          <t>2003-04-16</t>
        </is>
      </c>
      <c r="W143" t="inlineStr">
        <is>
          <t>1990-03-23</t>
        </is>
      </c>
      <c r="X143" t="inlineStr">
        <is>
          <t>1990-03-23</t>
        </is>
      </c>
      <c r="Y143" t="n">
        <v>438</v>
      </c>
      <c r="Z143" t="n">
        <v>392</v>
      </c>
      <c r="AA143" t="n">
        <v>396</v>
      </c>
      <c r="AB143" t="n">
        <v>2</v>
      </c>
      <c r="AC143" t="n">
        <v>2</v>
      </c>
      <c r="AD143" t="n">
        <v>20</v>
      </c>
      <c r="AE143" t="n">
        <v>21</v>
      </c>
      <c r="AF143" t="n">
        <v>3</v>
      </c>
      <c r="AG143" t="n">
        <v>4</v>
      </c>
      <c r="AH143" t="n">
        <v>3</v>
      </c>
      <c r="AI143" t="n">
        <v>3</v>
      </c>
      <c r="AJ143" t="n">
        <v>9</v>
      </c>
      <c r="AK143" t="n">
        <v>10</v>
      </c>
      <c r="AL143" t="n">
        <v>1</v>
      </c>
      <c r="AM143" t="n">
        <v>1</v>
      </c>
      <c r="AN143" t="n">
        <v>8</v>
      </c>
      <c r="AO143" t="n">
        <v>8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HYPERLINK("https://creighton-primo.hosted.exlibrisgroup.com/primo-explore/search?tab=default_tab&amp;search_scope=EVERYTHING&amp;vid=01CRU&amp;lang=en_US&amp;offset=0&amp;query=any,contains,991000708319702656","Catalog Record")</f>
        <v/>
      </c>
      <c r="AT143">
        <f>HYPERLINK("http://www.worldcat.org/oclc/12558701","WorldCat Record")</f>
        <v/>
      </c>
    </row>
    <row r="144">
      <c r="A144" t="inlineStr">
        <is>
          <t>No</t>
        </is>
      </c>
      <c r="B144" t="inlineStr">
        <is>
          <t>R724 .H47 2001</t>
        </is>
      </c>
      <c r="C144" t="inlineStr">
        <is>
          <t>0                      R  0724000H  47          2001</t>
        </is>
      </c>
      <c r="D144" t="inlineStr">
        <is>
          <t>Community as healing : pragmatist ethics in medical encounters / D. Micah Hester.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Hester, D. Micah.</t>
        </is>
      </c>
      <c r="L144" t="inlineStr">
        <is>
          <t>Lanham, MD : Rowman &amp; Littlefield, c2001.</t>
        </is>
      </c>
      <c r="M144" t="inlineStr">
        <is>
          <t>2001</t>
        </is>
      </c>
      <c r="O144" t="inlineStr">
        <is>
          <t>eng</t>
        </is>
      </c>
      <c r="P144" t="inlineStr">
        <is>
          <t>mdu</t>
        </is>
      </c>
      <c r="R144" t="inlineStr">
        <is>
          <t xml:space="preserve">R  </t>
        </is>
      </c>
      <c r="S144" t="n">
        <v>1</v>
      </c>
      <c r="T144" t="n">
        <v>1</v>
      </c>
      <c r="U144" t="inlineStr">
        <is>
          <t>2003-12-02</t>
        </is>
      </c>
      <c r="V144" t="inlineStr">
        <is>
          <t>2003-12-02</t>
        </is>
      </c>
      <c r="W144" t="inlineStr">
        <is>
          <t>2003-12-02</t>
        </is>
      </c>
      <c r="X144" t="inlineStr">
        <is>
          <t>2003-12-02</t>
        </is>
      </c>
      <c r="Y144" t="n">
        <v>248</v>
      </c>
      <c r="Z144" t="n">
        <v>227</v>
      </c>
      <c r="AA144" t="n">
        <v>249</v>
      </c>
      <c r="AB144" t="n">
        <v>1</v>
      </c>
      <c r="AC144" t="n">
        <v>1</v>
      </c>
      <c r="AD144" t="n">
        <v>17</v>
      </c>
      <c r="AE144" t="n">
        <v>19</v>
      </c>
      <c r="AF144" t="n">
        <v>8</v>
      </c>
      <c r="AG144" t="n">
        <v>9</v>
      </c>
      <c r="AH144" t="n">
        <v>3</v>
      </c>
      <c r="AI144" t="n">
        <v>4</v>
      </c>
      <c r="AJ144" t="n">
        <v>11</v>
      </c>
      <c r="AK144" t="n">
        <v>11</v>
      </c>
      <c r="AL144" t="n">
        <v>0</v>
      </c>
      <c r="AM144" t="n">
        <v>0</v>
      </c>
      <c r="AN144" t="n">
        <v>0</v>
      </c>
      <c r="AO144" t="n">
        <v>1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HYPERLINK("http://catalog.hathitrust.org/Record/004597941","HathiTrust Record")</f>
        <v/>
      </c>
      <c r="AS144">
        <f>HYPERLINK("https://creighton-primo.hosted.exlibrisgroup.com/primo-explore/search?tab=default_tab&amp;search_scope=EVERYTHING&amp;vid=01CRU&amp;lang=en_US&amp;offset=0&amp;query=any,contains,991004169989702656","Catalog Record")</f>
        <v/>
      </c>
      <c r="AT144">
        <f>HYPERLINK("http://www.worldcat.org/oclc/45668847","WorldCat Record")</f>
        <v/>
      </c>
    </row>
    <row r="145">
      <c r="A145" t="inlineStr">
        <is>
          <t>No</t>
        </is>
      </c>
      <c r="B145" t="inlineStr">
        <is>
          <t>R724 .I56 1984</t>
        </is>
      </c>
      <c r="C145" t="inlineStr">
        <is>
          <t>0                      R  0724000I  56          1984</t>
        </is>
      </c>
      <c r="D145" t="inlineStr">
        <is>
          <t>Institutional ethics committees and health care decision making / edited by Ronald E. Cranford and A. Edward Doudera.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Ann Arbor, Mich. : Health Administration Press, 1984.</t>
        </is>
      </c>
      <c r="M145" t="inlineStr">
        <is>
          <t>1984</t>
        </is>
      </c>
      <c r="O145" t="inlineStr">
        <is>
          <t>eng</t>
        </is>
      </c>
      <c r="P145" t="inlineStr">
        <is>
          <t>miu</t>
        </is>
      </c>
      <c r="R145" t="inlineStr">
        <is>
          <t xml:space="preserve">R  </t>
        </is>
      </c>
      <c r="S145" t="n">
        <v>12</v>
      </c>
      <c r="T145" t="n">
        <v>12</v>
      </c>
      <c r="U145" t="inlineStr">
        <is>
          <t>2001-03-21</t>
        </is>
      </c>
      <c r="V145" t="inlineStr">
        <is>
          <t>2001-03-21</t>
        </is>
      </c>
      <c r="W145" t="inlineStr">
        <is>
          <t>1992-09-03</t>
        </is>
      </c>
      <c r="X145" t="inlineStr">
        <is>
          <t>1992-09-03</t>
        </is>
      </c>
      <c r="Y145" t="n">
        <v>400</v>
      </c>
      <c r="Z145" t="n">
        <v>367</v>
      </c>
      <c r="AA145" t="n">
        <v>375</v>
      </c>
      <c r="AB145" t="n">
        <v>2</v>
      </c>
      <c r="AC145" t="n">
        <v>2</v>
      </c>
      <c r="AD145" t="n">
        <v>22</v>
      </c>
      <c r="AE145" t="n">
        <v>22</v>
      </c>
      <c r="AF145" t="n">
        <v>4</v>
      </c>
      <c r="AG145" t="n">
        <v>4</v>
      </c>
      <c r="AH145" t="n">
        <v>5</v>
      </c>
      <c r="AI145" t="n">
        <v>5</v>
      </c>
      <c r="AJ145" t="n">
        <v>10</v>
      </c>
      <c r="AK145" t="n">
        <v>10</v>
      </c>
      <c r="AL145" t="n">
        <v>0</v>
      </c>
      <c r="AM145" t="n">
        <v>0</v>
      </c>
      <c r="AN145" t="n">
        <v>10</v>
      </c>
      <c r="AO145" t="n">
        <v>10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HYPERLINK("http://catalog.hathitrust.org/Record/000336660","HathiTrust Record")</f>
        <v/>
      </c>
      <c r="AS145">
        <f>HYPERLINK("https://creighton-primo.hosted.exlibrisgroup.com/primo-explore/search?tab=default_tab&amp;search_scope=EVERYTHING&amp;vid=01CRU&amp;lang=en_US&amp;offset=0&amp;query=any,contains,991000454449702656","Catalog Record")</f>
        <v/>
      </c>
      <c r="AT145">
        <f>HYPERLINK("http://www.worldcat.org/oclc/10913297","WorldCat Record")</f>
        <v/>
      </c>
    </row>
    <row r="146">
      <c r="A146" t="inlineStr">
        <is>
          <t>No</t>
        </is>
      </c>
      <c r="B146" t="inlineStr">
        <is>
          <t>R724 .J657 1998</t>
        </is>
      </c>
      <c r="C146" t="inlineStr">
        <is>
          <t>0                      R  0724000J  657         1998</t>
        </is>
      </c>
      <c r="D146" t="inlineStr">
        <is>
          <t>The birth of bioethics / Albert R. Jonsen.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Jonsen, Albert R.</t>
        </is>
      </c>
      <c r="L146" t="inlineStr">
        <is>
          <t>New York : Oxford University Press, 1998.</t>
        </is>
      </c>
      <c r="M146" t="inlineStr">
        <is>
          <t>1998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R  </t>
        </is>
      </c>
      <c r="S146" t="n">
        <v>11</v>
      </c>
      <c r="T146" t="n">
        <v>11</v>
      </c>
      <c r="U146" t="inlineStr">
        <is>
          <t>2010-12-17</t>
        </is>
      </c>
      <c r="V146" t="inlineStr">
        <is>
          <t>2010-12-17</t>
        </is>
      </c>
      <c r="W146" t="inlineStr">
        <is>
          <t>1998-08-20</t>
        </is>
      </c>
      <c r="X146" t="inlineStr">
        <is>
          <t>1998-08-20</t>
        </is>
      </c>
      <c r="Y146" t="n">
        <v>501</v>
      </c>
      <c r="Z146" t="n">
        <v>395</v>
      </c>
      <c r="AA146" t="n">
        <v>985</v>
      </c>
      <c r="AB146" t="n">
        <v>3</v>
      </c>
      <c r="AC146" t="n">
        <v>10</v>
      </c>
      <c r="AD146" t="n">
        <v>34</v>
      </c>
      <c r="AE146" t="n">
        <v>52</v>
      </c>
      <c r="AF146" t="n">
        <v>10</v>
      </c>
      <c r="AG146" t="n">
        <v>17</v>
      </c>
      <c r="AH146" t="n">
        <v>8</v>
      </c>
      <c r="AI146" t="n">
        <v>10</v>
      </c>
      <c r="AJ146" t="n">
        <v>18</v>
      </c>
      <c r="AK146" t="n">
        <v>20</v>
      </c>
      <c r="AL146" t="n">
        <v>1</v>
      </c>
      <c r="AM146" t="n">
        <v>8</v>
      </c>
      <c r="AN146" t="n">
        <v>5</v>
      </c>
      <c r="AO146" t="n">
        <v>6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HYPERLINK("http://catalog.hathitrust.org/Record/003269862","HathiTrust Record")</f>
        <v/>
      </c>
      <c r="AS146">
        <f>HYPERLINK("https://creighton-primo.hosted.exlibrisgroup.com/primo-explore/search?tab=default_tab&amp;search_scope=EVERYTHING&amp;vid=01CRU&amp;lang=en_US&amp;offset=0&amp;query=any,contains,991001692799702656","Catalog Record")</f>
        <v/>
      </c>
      <c r="AT146">
        <f>HYPERLINK("http://www.worldcat.org/oclc/37801388","WorldCat Record")</f>
        <v/>
      </c>
    </row>
    <row r="147">
      <c r="A147" t="inlineStr">
        <is>
          <t>No</t>
        </is>
      </c>
      <c r="B147" t="inlineStr">
        <is>
          <t>R724 .K4</t>
        </is>
      </c>
      <c r="C147" t="inlineStr">
        <is>
          <t>0                      R  0724000K  4</t>
        </is>
      </c>
      <c r="D147" t="inlineStr">
        <is>
          <t>Principles of medical ethics.</t>
        </is>
      </c>
      <c r="F147" t="inlineStr">
        <is>
          <t>No</t>
        </is>
      </c>
      <c r="G147" t="inlineStr">
        <is>
          <t>1</t>
        </is>
      </c>
      <c r="H147" t="inlineStr">
        <is>
          <t>Yes</t>
        </is>
      </c>
      <c r="I147" t="inlineStr">
        <is>
          <t>No</t>
        </is>
      </c>
      <c r="J147" t="inlineStr">
        <is>
          <t>0</t>
        </is>
      </c>
      <c r="K147" t="inlineStr">
        <is>
          <t>Kenny, John Paulinus, 1909-</t>
        </is>
      </c>
      <c r="L147" t="inlineStr">
        <is>
          <t>Westminster, Md., Newman Press, 1952.</t>
        </is>
      </c>
      <c r="M147" t="inlineStr">
        <is>
          <t>1952</t>
        </is>
      </c>
      <c r="O147" t="inlineStr">
        <is>
          <t>eng</t>
        </is>
      </c>
      <c r="P147" t="inlineStr">
        <is>
          <t>mdu</t>
        </is>
      </c>
      <c r="R147" t="inlineStr">
        <is>
          <t xml:space="preserve">R  </t>
        </is>
      </c>
      <c r="S147" t="n">
        <v>0</v>
      </c>
      <c r="T147" t="n">
        <v>5</v>
      </c>
      <c r="V147" t="inlineStr">
        <is>
          <t>1995-03-15</t>
        </is>
      </c>
      <c r="W147" t="inlineStr">
        <is>
          <t>1997-08-07</t>
        </is>
      </c>
      <c r="X147" t="inlineStr">
        <is>
          <t>1997-08-07</t>
        </is>
      </c>
      <c r="Y147" t="n">
        <v>131</v>
      </c>
      <c r="Z147" t="n">
        <v>114</v>
      </c>
      <c r="AA147" t="n">
        <v>363</v>
      </c>
      <c r="AB147" t="n">
        <v>2</v>
      </c>
      <c r="AC147" t="n">
        <v>6</v>
      </c>
      <c r="AD147" t="n">
        <v>17</v>
      </c>
      <c r="AE147" t="n">
        <v>35</v>
      </c>
      <c r="AF147" t="n">
        <v>5</v>
      </c>
      <c r="AG147" t="n">
        <v>10</v>
      </c>
      <c r="AH147" t="n">
        <v>3</v>
      </c>
      <c r="AI147" t="n">
        <v>7</v>
      </c>
      <c r="AJ147" t="n">
        <v>15</v>
      </c>
      <c r="AK147" t="n">
        <v>18</v>
      </c>
      <c r="AL147" t="n">
        <v>0</v>
      </c>
      <c r="AM147" t="n">
        <v>2</v>
      </c>
      <c r="AN147" t="n">
        <v>0</v>
      </c>
      <c r="AO147" t="n">
        <v>7</v>
      </c>
      <c r="AP147" t="inlineStr">
        <is>
          <t>Yes</t>
        </is>
      </c>
      <c r="AQ147" t="inlineStr">
        <is>
          <t>No</t>
        </is>
      </c>
      <c r="AR147">
        <f>HYPERLINK("http://catalog.hathitrust.org/Record/102256773","HathiTrust Record")</f>
        <v/>
      </c>
      <c r="AS147">
        <f>HYPERLINK("https://creighton-primo.hosted.exlibrisgroup.com/primo-explore/search?tab=default_tab&amp;search_scope=EVERYTHING&amp;vid=01CRU&amp;lang=en_US&amp;offset=0&amp;query=any,contains,991001792199702656","Catalog Record")</f>
        <v/>
      </c>
      <c r="AT147">
        <f>HYPERLINK("http://www.worldcat.org/oclc/368281","WorldCat Record")</f>
        <v/>
      </c>
    </row>
    <row r="148">
      <c r="A148" t="inlineStr">
        <is>
          <t>No</t>
        </is>
      </c>
      <c r="B148" t="inlineStr">
        <is>
          <t>R724 .K83 1987</t>
        </is>
      </c>
      <c r="C148" t="inlineStr">
        <is>
          <t>0                      R  0724000K  83          1987</t>
        </is>
      </c>
      <c r="D148" t="inlineStr">
        <is>
          <t>The sanctity-of-life doctrine in medicine : a critique / Helga Kuhse.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Kuhse, Helga.</t>
        </is>
      </c>
      <c r="L148" t="inlineStr">
        <is>
          <t>Oxford : Clarendon Press ; Oxford ; New York : Oxford University Press, c1987.</t>
        </is>
      </c>
      <c r="M148" t="inlineStr">
        <is>
          <t>1987</t>
        </is>
      </c>
      <c r="O148" t="inlineStr">
        <is>
          <t>eng</t>
        </is>
      </c>
      <c r="P148" t="inlineStr">
        <is>
          <t>enk</t>
        </is>
      </c>
      <c r="R148" t="inlineStr">
        <is>
          <t xml:space="preserve">R  </t>
        </is>
      </c>
      <c r="S148" t="n">
        <v>15</v>
      </c>
      <c r="T148" t="n">
        <v>15</v>
      </c>
      <c r="U148" t="inlineStr">
        <is>
          <t>2002-11-05</t>
        </is>
      </c>
      <c r="V148" t="inlineStr">
        <is>
          <t>2002-11-05</t>
        </is>
      </c>
      <c r="W148" t="inlineStr">
        <is>
          <t>1991-12-10</t>
        </is>
      </c>
      <c r="X148" t="inlineStr">
        <is>
          <t>1991-12-10</t>
        </is>
      </c>
      <c r="Y148" t="n">
        <v>487</v>
      </c>
      <c r="Z148" t="n">
        <v>343</v>
      </c>
      <c r="AA148" t="n">
        <v>346</v>
      </c>
      <c r="AB148" t="n">
        <v>3</v>
      </c>
      <c r="AC148" t="n">
        <v>3</v>
      </c>
      <c r="AD148" t="n">
        <v>20</v>
      </c>
      <c r="AE148" t="n">
        <v>20</v>
      </c>
      <c r="AF148" t="n">
        <v>5</v>
      </c>
      <c r="AG148" t="n">
        <v>5</v>
      </c>
      <c r="AH148" t="n">
        <v>5</v>
      </c>
      <c r="AI148" t="n">
        <v>5</v>
      </c>
      <c r="AJ148" t="n">
        <v>11</v>
      </c>
      <c r="AK148" t="n">
        <v>11</v>
      </c>
      <c r="AL148" t="n">
        <v>1</v>
      </c>
      <c r="AM148" t="n">
        <v>1</v>
      </c>
      <c r="AN148" t="n">
        <v>5</v>
      </c>
      <c r="AO148" t="n">
        <v>5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HYPERLINK("http://catalog.hathitrust.org/Record/000857911","HathiTrust Record")</f>
        <v/>
      </c>
      <c r="AS148">
        <f>HYPERLINK("https://creighton-primo.hosted.exlibrisgroup.com/primo-explore/search?tab=default_tab&amp;search_scope=EVERYTHING&amp;vid=01CRU&amp;lang=en_US&amp;offset=0&amp;query=any,contains,991001028749702656","Catalog Record")</f>
        <v/>
      </c>
      <c r="AT148">
        <f>HYPERLINK("http://www.worldcat.org/oclc/15489323","WorldCat Record")</f>
        <v/>
      </c>
    </row>
    <row r="149">
      <c r="A149" t="inlineStr">
        <is>
          <t>No</t>
        </is>
      </c>
      <c r="B149" t="inlineStr">
        <is>
          <t>R724 .M15 1956</t>
        </is>
      </c>
      <c r="C149" t="inlineStr">
        <is>
          <t>0                      R  0724000M  15          1956</t>
        </is>
      </c>
      <c r="D149" t="inlineStr">
        <is>
          <t>Medical ethics / forward by Bishop Fulton J. Sheen.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Yes</t>
        </is>
      </c>
      <c r="J149" t="inlineStr">
        <is>
          <t>0</t>
        </is>
      </c>
      <c r="K149" t="inlineStr">
        <is>
          <t>McFadden, Charles Joseph, 1909-</t>
        </is>
      </c>
      <c r="L149" t="inlineStr">
        <is>
          <t>Philadelphia, F.A. Davis Co., 1956.</t>
        </is>
      </c>
      <c r="M149" t="inlineStr">
        <is>
          <t>1956</t>
        </is>
      </c>
      <c r="N149" t="inlineStr">
        <is>
          <t>4th. ed.</t>
        </is>
      </c>
      <c r="O149" t="inlineStr">
        <is>
          <t>eng</t>
        </is>
      </c>
      <c r="P149" t="inlineStr">
        <is>
          <t xml:space="preserve">xx </t>
        </is>
      </c>
      <c r="R149" t="inlineStr">
        <is>
          <t xml:space="preserve">R  </t>
        </is>
      </c>
      <c r="S149" t="n">
        <v>2</v>
      </c>
      <c r="T149" t="n">
        <v>2</v>
      </c>
      <c r="U149" t="inlineStr">
        <is>
          <t>1998-04-09</t>
        </is>
      </c>
      <c r="V149" t="inlineStr">
        <is>
          <t>1998-04-09</t>
        </is>
      </c>
      <c r="W149" t="inlineStr">
        <is>
          <t>1997-09-22</t>
        </is>
      </c>
      <c r="X149" t="inlineStr">
        <is>
          <t>1997-09-22</t>
        </is>
      </c>
      <c r="Y149" t="n">
        <v>76</v>
      </c>
      <c r="Z149" t="n">
        <v>71</v>
      </c>
      <c r="AA149" t="n">
        <v>622</v>
      </c>
      <c r="AB149" t="n">
        <v>1</v>
      </c>
      <c r="AC149" t="n">
        <v>8</v>
      </c>
      <c r="AD149" t="n">
        <v>6</v>
      </c>
      <c r="AE149" t="n">
        <v>38</v>
      </c>
      <c r="AF149" t="n">
        <v>0</v>
      </c>
      <c r="AG149" t="n">
        <v>9</v>
      </c>
      <c r="AH149" t="n">
        <v>1</v>
      </c>
      <c r="AI149" t="n">
        <v>8</v>
      </c>
      <c r="AJ149" t="n">
        <v>4</v>
      </c>
      <c r="AK149" t="n">
        <v>18</v>
      </c>
      <c r="AL149" t="n">
        <v>0</v>
      </c>
      <c r="AM149" t="n">
        <v>3</v>
      </c>
      <c r="AN149" t="n">
        <v>1</v>
      </c>
      <c r="AO149" t="n">
        <v>7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HYPERLINK("https://creighton-primo.hosted.exlibrisgroup.com/primo-explore/search?tab=default_tab&amp;search_scope=EVERYTHING&amp;vid=01CRU&amp;lang=en_US&amp;offset=0&amp;query=any,contains,991004522789702656","Catalog Record")</f>
        <v/>
      </c>
      <c r="AT149">
        <f>HYPERLINK("http://www.worldcat.org/oclc/3829817","WorldCat Record")</f>
        <v/>
      </c>
    </row>
    <row r="150">
      <c r="A150" t="inlineStr">
        <is>
          <t>No</t>
        </is>
      </c>
      <c r="B150" t="inlineStr">
        <is>
          <t>R724 .M15 1967</t>
        </is>
      </c>
      <c r="C150" t="inlineStr">
        <is>
          <t>0                      R  0724000M  15          1967</t>
        </is>
      </c>
      <c r="D150" t="inlineStr">
        <is>
          <t>Medical ethics / [by] Charles J. McFadden. Foreword by Fulton J. Sheen.</t>
        </is>
      </c>
      <c r="F150" t="inlineStr">
        <is>
          <t>No</t>
        </is>
      </c>
      <c r="G150" t="inlineStr">
        <is>
          <t>2</t>
        </is>
      </c>
      <c r="H150" t="inlineStr">
        <is>
          <t>Yes</t>
        </is>
      </c>
      <c r="I150" t="inlineStr">
        <is>
          <t>Yes</t>
        </is>
      </c>
      <c r="J150" t="inlineStr">
        <is>
          <t>0</t>
        </is>
      </c>
      <c r="K150" t="inlineStr">
        <is>
          <t>McFadden, Charles Joseph, 1909-</t>
        </is>
      </c>
      <c r="L150" t="inlineStr">
        <is>
          <t>Philadelphia : F. A. Davis Co., [1967]</t>
        </is>
      </c>
      <c r="M150" t="inlineStr">
        <is>
          <t>1967</t>
        </is>
      </c>
      <c r="N150" t="inlineStr">
        <is>
          <t>Ed. 6.</t>
        </is>
      </c>
      <c r="O150" t="inlineStr">
        <is>
          <t>eng</t>
        </is>
      </c>
      <c r="P150" t="inlineStr">
        <is>
          <t>pau</t>
        </is>
      </c>
      <c r="R150" t="inlineStr">
        <is>
          <t xml:space="preserve">R  </t>
        </is>
      </c>
      <c r="S150" t="n">
        <v>4</v>
      </c>
      <c r="T150" t="n">
        <v>9</v>
      </c>
      <c r="U150" t="inlineStr">
        <is>
          <t>1992-09-08</t>
        </is>
      </c>
      <c r="V150" t="inlineStr">
        <is>
          <t>1992-09-08</t>
        </is>
      </c>
      <c r="W150" t="inlineStr">
        <is>
          <t>1990-10-05</t>
        </is>
      </c>
      <c r="X150" t="inlineStr">
        <is>
          <t>1990-10-05</t>
        </is>
      </c>
      <c r="Y150" t="n">
        <v>336</v>
      </c>
      <c r="Z150" t="n">
        <v>300</v>
      </c>
      <c r="AA150" t="n">
        <v>622</v>
      </c>
      <c r="AB150" t="n">
        <v>4</v>
      </c>
      <c r="AC150" t="n">
        <v>8</v>
      </c>
      <c r="AD150" t="n">
        <v>17</v>
      </c>
      <c r="AE150" t="n">
        <v>38</v>
      </c>
      <c r="AF150" t="n">
        <v>4</v>
      </c>
      <c r="AG150" t="n">
        <v>9</v>
      </c>
      <c r="AH150" t="n">
        <v>4</v>
      </c>
      <c r="AI150" t="n">
        <v>8</v>
      </c>
      <c r="AJ150" t="n">
        <v>12</v>
      </c>
      <c r="AK150" t="n">
        <v>18</v>
      </c>
      <c r="AL150" t="n">
        <v>1</v>
      </c>
      <c r="AM150" t="n">
        <v>3</v>
      </c>
      <c r="AN150" t="n">
        <v>0</v>
      </c>
      <c r="AO150" t="n">
        <v>7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HYPERLINK("http://catalog.hathitrust.org/Record/001557837","HathiTrust Record")</f>
        <v/>
      </c>
      <c r="AS150">
        <f>HYPERLINK("https://creighton-primo.hosted.exlibrisgroup.com/primo-explore/search?tab=default_tab&amp;search_scope=EVERYTHING&amp;vid=01CRU&amp;lang=en_US&amp;offset=0&amp;query=any,contains,991001787309702656","Catalog Record")</f>
        <v/>
      </c>
      <c r="AT150">
        <f>HYPERLINK("http://www.worldcat.org/oclc/618880","WorldCat Record")</f>
        <v/>
      </c>
    </row>
    <row r="151">
      <c r="A151" t="inlineStr">
        <is>
          <t>No</t>
        </is>
      </c>
      <c r="B151" t="inlineStr">
        <is>
          <t>R724 .M1614 1987</t>
        </is>
      </c>
      <c r="C151" t="inlineStr">
        <is>
          <t>0                      R  0724000M  1614        1987</t>
        </is>
      </c>
      <c r="D151" t="inlineStr">
        <is>
          <t>Mortal choices : bioethics in today's world / Ruth Macklin.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Macklin, Ruth, 1938-</t>
        </is>
      </c>
      <c r="L151" t="inlineStr">
        <is>
          <t>New York : Pantheon Books, c1987.</t>
        </is>
      </c>
      <c r="M151" t="inlineStr">
        <is>
          <t>1987</t>
        </is>
      </c>
      <c r="N151" t="inlineStr">
        <is>
          <t>1st ed.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R  </t>
        </is>
      </c>
      <c r="S151" t="n">
        <v>7</v>
      </c>
      <c r="T151" t="n">
        <v>7</v>
      </c>
      <c r="U151" t="inlineStr">
        <is>
          <t>1998-04-23</t>
        </is>
      </c>
      <c r="V151" t="inlineStr">
        <is>
          <t>1998-04-23</t>
        </is>
      </c>
      <c r="W151" t="inlineStr">
        <is>
          <t>1990-03-13</t>
        </is>
      </c>
      <c r="X151" t="inlineStr">
        <is>
          <t>1990-03-13</t>
        </is>
      </c>
      <c r="Y151" t="n">
        <v>1077</v>
      </c>
      <c r="Z151" t="n">
        <v>994</v>
      </c>
      <c r="AA151" t="n">
        <v>1001</v>
      </c>
      <c r="AB151" t="n">
        <v>6</v>
      </c>
      <c r="AC151" t="n">
        <v>6</v>
      </c>
      <c r="AD151" t="n">
        <v>24</v>
      </c>
      <c r="AE151" t="n">
        <v>24</v>
      </c>
      <c r="AF151" t="n">
        <v>7</v>
      </c>
      <c r="AG151" t="n">
        <v>7</v>
      </c>
      <c r="AH151" t="n">
        <v>4</v>
      </c>
      <c r="AI151" t="n">
        <v>4</v>
      </c>
      <c r="AJ151" t="n">
        <v>14</v>
      </c>
      <c r="AK151" t="n">
        <v>14</v>
      </c>
      <c r="AL151" t="n">
        <v>3</v>
      </c>
      <c r="AM151" t="n">
        <v>3</v>
      </c>
      <c r="AN151" t="n">
        <v>3</v>
      </c>
      <c r="AO151" t="n">
        <v>3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HYPERLINK("http://catalog.hathitrust.org/Record/000825877","HathiTrust Record")</f>
        <v/>
      </c>
      <c r="AS151">
        <f>HYPERLINK("https://creighton-primo.hosted.exlibrisgroup.com/primo-explore/search?tab=default_tab&amp;search_scope=EVERYTHING&amp;vid=01CRU&amp;lang=en_US&amp;offset=0&amp;query=any,contains,991000984129702656","Catalog Record")</f>
        <v/>
      </c>
      <c r="AT151">
        <f>HYPERLINK("http://www.worldcat.org/oclc/15055157","WorldCat Record")</f>
        <v/>
      </c>
    </row>
    <row r="152">
      <c r="A152" t="inlineStr">
        <is>
          <t>No</t>
        </is>
      </c>
      <c r="B152" t="inlineStr">
        <is>
          <t>R724 .M165 1984b</t>
        </is>
      </c>
      <c r="C152" t="inlineStr">
        <is>
          <t>0                      R  0724000M  165         1984b</t>
        </is>
      </c>
      <c r="D152" t="inlineStr">
        <is>
          <t>Bio-ethics and belief : religion and medicine in dialogue / John Mahoney.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Yes</t>
        </is>
      </c>
      <c r="J152" t="inlineStr">
        <is>
          <t>0</t>
        </is>
      </c>
      <c r="K152" t="inlineStr">
        <is>
          <t>Mahoney, John.</t>
        </is>
      </c>
      <c r="L152" t="inlineStr">
        <is>
          <t>Westminster, Md. : Christian Classics, [1984?]</t>
        </is>
      </c>
      <c r="M152" t="inlineStr">
        <is>
          <t>1984</t>
        </is>
      </c>
      <c r="O152" t="inlineStr">
        <is>
          <t>eng</t>
        </is>
      </c>
      <c r="P152" t="inlineStr">
        <is>
          <t>mdu</t>
        </is>
      </c>
      <c r="R152" t="inlineStr">
        <is>
          <t xml:space="preserve">R  </t>
        </is>
      </c>
      <c r="S152" t="n">
        <v>13</v>
      </c>
      <c r="T152" t="n">
        <v>13</v>
      </c>
      <c r="U152" t="inlineStr">
        <is>
          <t>1997-10-08</t>
        </is>
      </c>
      <c r="V152" t="inlineStr">
        <is>
          <t>1997-10-08</t>
        </is>
      </c>
      <c r="W152" t="inlineStr">
        <is>
          <t>1992-04-08</t>
        </is>
      </c>
      <c r="X152" t="inlineStr">
        <is>
          <t>1992-04-08</t>
        </is>
      </c>
      <c r="Y152" t="n">
        <v>91</v>
      </c>
      <c r="Z152" t="n">
        <v>84</v>
      </c>
      <c r="AA152" t="n">
        <v>187</v>
      </c>
      <c r="AB152" t="n">
        <v>1</v>
      </c>
      <c r="AC152" t="n">
        <v>4</v>
      </c>
      <c r="AD152" t="n">
        <v>11</v>
      </c>
      <c r="AE152" t="n">
        <v>21</v>
      </c>
      <c r="AF152" t="n">
        <v>2</v>
      </c>
      <c r="AG152" t="n">
        <v>5</v>
      </c>
      <c r="AH152" t="n">
        <v>3</v>
      </c>
      <c r="AI152" t="n">
        <v>4</v>
      </c>
      <c r="AJ152" t="n">
        <v>9</v>
      </c>
      <c r="AK152" t="n">
        <v>17</v>
      </c>
      <c r="AL152" t="n">
        <v>0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HYPERLINK("https://creighton-primo.hosted.exlibrisgroup.com/primo-explore/search?tab=default_tab&amp;search_scope=EVERYTHING&amp;vid=01CRU&amp;lang=en_US&amp;offset=0&amp;query=any,contains,991000575879702656","Catalog Record")</f>
        <v/>
      </c>
      <c r="AT152">
        <f>HYPERLINK("http://www.worldcat.org/oclc/11682682","WorldCat Record")</f>
        <v/>
      </c>
    </row>
    <row r="153">
      <c r="A153" t="inlineStr">
        <is>
          <t>No</t>
        </is>
      </c>
      <c r="B153" t="inlineStr">
        <is>
          <t>R724 .M286 1996</t>
        </is>
      </c>
      <c r="C153" t="inlineStr">
        <is>
          <t>0                      R  0724000M  286         1996</t>
        </is>
      </c>
      <c r="D153" t="inlineStr">
        <is>
          <t>Testing the medical covenant : active euthanasia and health care reform / William F. May.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May, William F.</t>
        </is>
      </c>
      <c r="L153" t="inlineStr">
        <is>
          <t>Grand Rapids, Mich. : William B. Eerdmans Pub. Co., c1996.</t>
        </is>
      </c>
      <c r="M153" t="inlineStr">
        <is>
          <t>1996</t>
        </is>
      </c>
      <c r="O153" t="inlineStr">
        <is>
          <t>eng</t>
        </is>
      </c>
      <c r="P153" t="inlineStr">
        <is>
          <t>miu</t>
        </is>
      </c>
      <c r="Q153" t="inlineStr">
        <is>
          <t>The Institute of Religion series on religion and health care ; #2</t>
        </is>
      </c>
      <c r="R153" t="inlineStr">
        <is>
          <t xml:space="preserve">R  </t>
        </is>
      </c>
      <c r="S153" t="n">
        <v>5</v>
      </c>
      <c r="T153" t="n">
        <v>5</v>
      </c>
      <c r="U153" t="inlineStr">
        <is>
          <t>2003-04-16</t>
        </is>
      </c>
      <c r="V153" t="inlineStr">
        <is>
          <t>2003-04-16</t>
        </is>
      </c>
      <c r="W153" t="inlineStr">
        <is>
          <t>2000-12-20</t>
        </is>
      </c>
      <c r="X153" t="inlineStr">
        <is>
          <t>2000-12-20</t>
        </is>
      </c>
      <c r="Y153" t="n">
        <v>556</v>
      </c>
      <c r="Z153" t="n">
        <v>510</v>
      </c>
      <c r="AA153" t="n">
        <v>518</v>
      </c>
      <c r="AB153" t="n">
        <v>2</v>
      </c>
      <c r="AC153" t="n">
        <v>2</v>
      </c>
      <c r="AD153" t="n">
        <v>30</v>
      </c>
      <c r="AE153" t="n">
        <v>30</v>
      </c>
      <c r="AF153" t="n">
        <v>9</v>
      </c>
      <c r="AG153" t="n">
        <v>9</v>
      </c>
      <c r="AH153" t="n">
        <v>6</v>
      </c>
      <c r="AI153" t="n">
        <v>6</v>
      </c>
      <c r="AJ153" t="n">
        <v>18</v>
      </c>
      <c r="AK153" t="n">
        <v>18</v>
      </c>
      <c r="AL153" t="n">
        <v>1</v>
      </c>
      <c r="AM153" t="n">
        <v>1</v>
      </c>
      <c r="AN153" t="n">
        <v>3</v>
      </c>
      <c r="AO153" t="n">
        <v>3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HYPERLINK("http://catalog.hathitrust.org/Record/004539118","HathiTrust Record")</f>
        <v/>
      </c>
      <c r="AS153">
        <f>HYPERLINK("https://creighton-primo.hosted.exlibrisgroup.com/primo-explore/search?tab=default_tab&amp;search_scope=EVERYTHING&amp;vid=01CRU&amp;lang=en_US&amp;offset=0&amp;query=any,contains,991003360919702656","Catalog Record")</f>
        <v/>
      </c>
      <c r="AT153">
        <f>HYPERLINK("http://www.worldcat.org/oclc/34919792","WorldCat Record")</f>
        <v/>
      </c>
    </row>
    <row r="154">
      <c r="A154" t="inlineStr">
        <is>
          <t>No</t>
        </is>
      </c>
      <c r="B154" t="inlineStr">
        <is>
          <t>R724 .M292 1997</t>
        </is>
      </c>
      <c r="C154" t="inlineStr">
        <is>
          <t>0                      R  0724000M  292         1997</t>
        </is>
      </c>
      <c r="D154" t="inlineStr">
        <is>
          <t>Moral issues in health care : an introduction to medical ethics / Terrance McConnell.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McConnell, Terrance C.</t>
        </is>
      </c>
      <c r="L154" t="inlineStr">
        <is>
          <t>Belmont, CA : Wadsworth Pub. Co., c1997.</t>
        </is>
      </c>
      <c r="M154" t="inlineStr">
        <is>
          <t>1997</t>
        </is>
      </c>
      <c r="N154" t="inlineStr">
        <is>
          <t>2nd ed.</t>
        </is>
      </c>
      <c r="O154" t="inlineStr">
        <is>
          <t>eng</t>
        </is>
      </c>
      <c r="P154" t="inlineStr">
        <is>
          <t>cau</t>
        </is>
      </c>
      <c r="R154" t="inlineStr">
        <is>
          <t xml:space="preserve">R  </t>
        </is>
      </c>
      <c r="S154" t="n">
        <v>33</v>
      </c>
      <c r="T154" t="n">
        <v>33</v>
      </c>
      <c r="U154" t="inlineStr">
        <is>
          <t>2006-10-24</t>
        </is>
      </c>
      <c r="V154" t="inlineStr">
        <is>
          <t>2006-10-24</t>
        </is>
      </c>
      <c r="W154" t="inlineStr">
        <is>
          <t>1997-03-19</t>
        </is>
      </c>
      <c r="X154" t="inlineStr">
        <is>
          <t>1997-03-19</t>
        </is>
      </c>
      <c r="Y154" t="n">
        <v>187</v>
      </c>
      <c r="Z154" t="n">
        <v>144</v>
      </c>
      <c r="AA154" t="n">
        <v>338</v>
      </c>
      <c r="AB154" t="n">
        <v>1</v>
      </c>
      <c r="AC154" t="n">
        <v>2</v>
      </c>
      <c r="AD154" t="n">
        <v>12</v>
      </c>
      <c r="AE154" t="n">
        <v>23</v>
      </c>
      <c r="AF154" t="n">
        <v>5</v>
      </c>
      <c r="AG154" t="n">
        <v>11</v>
      </c>
      <c r="AH154" t="n">
        <v>2</v>
      </c>
      <c r="AI154" t="n">
        <v>6</v>
      </c>
      <c r="AJ154" t="n">
        <v>9</v>
      </c>
      <c r="AK154" t="n">
        <v>14</v>
      </c>
      <c r="AL154" t="n">
        <v>0</v>
      </c>
      <c r="AM154" t="n">
        <v>1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HYPERLINK("http://catalog.hathitrust.org/Record/003110488","HathiTrust Record")</f>
        <v/>
      </c>
      <c r="AS154">
        <f>HYPERLINK("https://creighton-primo.hosted.exlibrisgroup.com/primo-explore/search?tab=default_tab&amp;search_scope=EVERYTHING&amp;vid=01CRU&amp;lang=en_US&amp;offset=0&amp;query=any,contains,991002644539702656","Catalog Record")</f>
        <v/>
      </c>
      <c r="AT154">
        <f>HYPERLINK("http://www.worldcat.org/oclc/34604313","WorldCat Record")</f>
        <v/>
      </c>
    </row>
    <row r="155">
      <c r="A155" t="inlineStr">
        <is>
          <t>No</t>
        </is>
      </c>
      <c r="B155" t="inlineStr">
        <is>
          <t>R724 .M2927 1989</t>
        </is>
      </c>
      <c r="C155" t="inlineStr">
        <is>
          <t>0                      R  0724000M  2927        1989</t>
        </is>
      </c>
      <c r="D155" t="inlineStr">
        <is>
          <t>Medical ethics / edited by Robert M. Veatch.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Yes</t>
        </is>
      </c>
      <c r="J155" t="inlineStr">
        <is>
          <t>0</t>
        </is>
      </c>
      <c r="L155" t="inlineStr">
        <is>
          <t>Boston, MA : Jones and Bartlett, c1989.</t>
        </is>
      </c>
      <c r="M155" t="inlineStr">
        <is>
          <t>1989</t>
        </is>
      </c>
      <c r="O155" t="inlineStr">
        <is>
          <t>eng</t>
        </is>
      </c>
      <c r="P155" t="inlineStr">
        <is>
          <t>mau</t>
        </is>
      </c>
      <c r="R155" t="inlineStr">
        <is>
          <t xml:space="preserve">R  </t>
        </is>
      </c>
      <c r="S155" t="n">
        <v>50</v>
      </c>
      <c r="T155" t="n">
        <v>50</v>
      </c>
      <c r="U155" t="inlineStr">
        <is>
          <t>2006-03-27</t>
        </is>
      </c>
      <c r="V155" t="inlineStr">
        <is>
          <t>2006-03-27</t>
        </is>
      </c>
      <c r="W155" t="inlineStr">
        <is>
          <t>1991-02-23</t>
        </is>
      </c>
      <c r="X155" t="inlineStr">
        <is>
          <t>1991-02-23</t>
        </is>
      </c>
      <c r="Y155" t="n">
        <v>748</v>
      </c>
      <c r="Z155" t="n">
        <v>639</v>
      </c>
      <c r="AA155" t="n">
        <v>1634</v>
      </c>
      <c r="AB155" t="n">
        <v>4</v>
      </c>
      <c r="AC155" t="n">
        <v>7</v>
      </c>
      <c r="AD155" t="n">
        <v>32</v>
      </c>
      <c r="AE155" t="n">
        <v>54</v>
      </c>
      <c r="AF155" t="n">
        <v>14</v>
      </c>
      <c r="AG155" t="n">
        <v>25</v>
      </c>
      <c r="AH155" t="n">
        <v>6</v>
      </c>
      <c r="AI155" t="n">
        <v>11</v>
      </c>
      <c r="AJ155" t="n">
        <v>15</v>
      </c>
      <c r="AK155" t="n">
        <v>25</v>
      </c>
      <c r="AL155" t="n">
        <v>3</v>
      </c>
      <c r="AM155" t="n">
        <v>5</v>
      </c>
      <c r="AN155" t="n">
        <v>1</v>
      </c>
      <c r="AO155" t="n">
        <v>2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HYPERLINK("http://catalog.hathitrust.org/Record/001085912","HathiTrust Record")</f>
        <v/>
      </c>
      <c r="AS155">
        <f>HYPERLINK("https://creighton-primo.hosted.exlibrisgroup.com/primo-explore/search?tab=default_tab&amp;search_scope=EVERYTHING&amp;vid=01CRU&amp;lang=en_US&amp;offset=0&amp;query=any,contains,991003188109702656","Catalog Record")</f>
        <v/>
      </c>
      <c r="AT155">
        <f>HYPERLINK("http://www.worldcat.org/oclc/18628721","WorldCat Record")</f>
        <v/>
      </c>
    </row>
    <row r="156">
      <c r="A156" t="inlineStr">
        <is>
          <t>No</t>
        </is>
      </c>
      <c r="B156" t="inlineStr">
        <is>
          <t>R724 .M2928 1983</t>
        </is>
      </c>
      <c r="C156" t="inlineStr">
        <is>
          <t>0                      R  0724000M  2928        1983</t>
        </is>
      </c>
      <c r="D156" t="inlineStr">
        <is>
          <t>Medical ethics : a clinical textbook and reference for the health care professions / edited by Natalie Abrams, Michael D. Buckner.</t>
        </is>
      </c>
      <c r="F156" t="inlineStr">
        <is>
          <t>No</t>
        </is>
      </c>
      <c r="G156" t="inlineStr">
        <is>
          <t>1</t>
        </is>
      </c>
      <c r="H156" t="inlineStr">
        <is>
          <t>Yes</t>
        </is>
      </c>
      <c r="I156" t="inlineStr">
        <is>
          <t>No</t>
        </is>
      </c>
      <c r="J156" t="inlineStr">
        <is>
          <t>0</t>
        </is>
      </c>
      <c r="L156" t="inlineStr">
        <is>
          <t>Cambridge, Mass. : MIT Press, c1983.</t>
        </is>
      </c>
      <c r="M156" t="inlineStr">
        <is>
          <t>1983</t>
        </is>
      </c>
      <c r="O156" t="inlineStr">
        <is>
          <t>eng</t>
        </is>
      </c>
      <c r="P156" t="inlineStr">
        <is>
          <t>mau</t>
        </is>
      </c>
      <c r="R156" t="inlineStr">
        <is>
          <t xml:space="preserve">R  </t>
        </is>
      </c>
      <c r="S156" t="n">
        <v>20</v>
      </c>
      <c r="T156" t="n">
        <v>38</v>
      </c>
      <c r="U156" t="inlineStr">
        <is>
          <t>2005-10-18</t>
        </is>
      </c>
      <c r="V156" t="inlineStr">
        <is>
          <t>2005-10-18</t>
        </is>
      </c>
      <c r="W156" t="inlineStr">
        <is>
          <t>1992-03-27</t>
        </is>
      </c>
      <c r="X156" t="inlineStr">
        <is>
          <t>1992-03-27</t>
        </is>
      </c>
      <c r="Y156" t="n">
        <v>598</v>
      </c>
      <c r="Z156" t="n">
        <v>513</v>
      </c>
      <c r="AA156" t="n">
        <v>513</v>
      </c>
      <c r="AB156" t="n">
        <v>3</v>
      </c>
      <c r="AC156" t="n">
        <v>3</v>
      </c>
      <c r="AD156" t="n">
        <v>28</v>
      </c>
      <c r="AE156" t="n">
        <v>28</v>
      </c>
      <c r="AF156" t="n">
        <v>10</v>
      </c>
      <c r="AG156" t="n">
        <v>10</v>
      </c>
      <c r="AH156" t="n">
        <v>4</v>
      </c>
      <c r="AI156" t="n">
        <v>4</v>
      </c>
      <c r="AJ156" t="n">
        <v>16</v>
      </c>
      <c r="AK156" t="n">
        <v>16</v>
      </c>
      <c r="AL156" t="n">
        <v>0</v>
      </c>
      <c r="AM156" t="n">
        <v>0</v>
      </c>
      <c r="AN156" t="n">
        <v>6</v>
      </c>
      <c r="AO156" t="n">
        <v>6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HYPERLINK("https://creighton-primo.hosted.exlibrisgroup.com/primo-explore/search?tab=default_tab&amp;search_scope=EVERYTHING&amp;vid=01CRU&amp;lang=en_US&amp;offset=0&amp;query=any,contains,991001624319702656","Catalog Record")</f>
        <v/>
      </c>
      <c r="AT156">
        <f>HYPERLINK("http://www.worldcat.org/oclc/9066415","WorldCat Record")</f>
        <v/>
      </c>
    </row>
    <row r="157">
      <c r="A157" t="inlineStr">
        <is>
          <t>No</t>
        </is>
      </c>
      <c r="B157" t="inlineStr">
        <is>
          <t>R724 .M293</t>
        </is>
      </c>
      <c r="C157" t="inlineStr">
        <is>
          <t>0                      R  0724000M  293</t>
        </is>
      </c>
      <c r="D157" t="inlineStr">
        <is>
          <t>Medical ethics and the law : implications for public policy / [compiled by] Marc D. Hiller.</t>
        </is>
      </c>
      <c r="F157" t="inlineStr">
        <is>
          <t>No</t>
        </is>
      </c>
      <c r="G157" t="inlineStr">
        <is>
          <t>1</t>
        </is>
      </c>
      <c r="H157" t="inlineStr">
        <is>
          <t>Yes</t>
        </is>
      </c>
      <c r="I157" t="inlineStr">
        <is>
          <t>No</t>
        </is>
      </c>
      <c r="J157" t="inlineStr">
        <is>
          <t>0</t>
        </is>
      </c>
      <c r="L157" t="inlineStr">
        <is>
          <t>Cambridge, Mass. : Ballinger Pub. Co., [1981]</t>
        </is>
      </c>
      <c r="M157" t="inlineStr">
        <is>
          <t>1981</t>
        </is>
      </c>
      <c r="O157" t="inlineStr">
        <is>
          <t>eng</t>
        </is>
      </c>
      <c r="P157" t="inlineStr">
        <is>
          <t>mau</t>
        </is>
      </c>
      <c r="R157" t="inlineStr">
        <is>
          <t xml:space="preserve">R  </t>
        </is>
      </c>
      <c r="S157" t="n">
        <v>27</v>
      </c>
      <c r="T157" t="n">
        <v>27</v>
      </c>
      <c r="U157" t="inlineStr">
        <is>
          <t>2000-04-01</t>
        </is>
      </c>
      <c r="V157" t="inlineStr">
        <is>
          <t>2000-04-01</t>
        </is>
      </c>
      <c r="W157" t="inlineStr">
        <is>
          <t>1991-12-04</t>
        </is>
      </c>
      <c r="X157" t="inlineStr">
        <is>
          <t>1991-12-04</t>
        </is>
      </c>
      <c r="Y157" t="n">
        <v>485</v>
      </c>
      <c r="Z157" t="n">
        <v>422</v>
      </c>
      <c r="AA157" t="n">
        <v>431</v>
      </c>
      <c r="AB157" t="n">
        <v>4</v>
      </c>
      <c r="AC157" t="n">
        <v>4</v>
      </c>
      <c r="AD157" t="n">
        <v>32</v>
      </c>
      <c r="AE157" t="n">
        <v>32</v>
      </c>
      <c r="AF157" t="n">
        <v>7</v>
      </c>
      <c r="AG157" t="n">
        <v>7</v>
      </c>
      <c r="AH157" t="n">
        <v>5</v>
      </c>
      <c r="AI157" t="n">
        <v>5</v>
      </c>
      <c r="AJ157" t="n">
        <v>12</v>
      </c>
      <c r="AK157" t="n">
        <v>12</v>
      </c>
      <c r="AL157" t="n">
        <v>1</v>
      </c>
      <c r="AM157" t="n">
        <v>1</v>
      </c>
      <c r="AN157" t="n">
        <v>15</v>
      </c>
      <c r="AO157" t="n">
        <v>15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HYPERLINK("http://catalog.hathitrust.org/Record/000186938","HathiTrust Record")</f>
        <v/>
      </c>
      <c r="AS157">
        <f>HYPERLINK("https://creighton-primo.hosted.exlibrisgroup.com/primo-explore/search?tab=default_tab&amp;search_scope=EVERYTHING&amp;vid=01CRU&amp;lang=en_US&amp;offset=0&amp;query=any,contains,991005115559702656","Catalog Record")</f>
        <v/>
      </c>
      <c r="AT157">
        <f>HYPERLINK("http://www.worldcat.org/oclc/7462112","WorldCat Record")</f>
        <v/>
      </c>
    </row>
    <row r="158">
      <c r="A158" t="inlineStr">
        <is>
          <t>No</t>
        </is>
      </c>
      <c r="B158" t="inlineStr">
        <is>
          <t>R724 .M2993 1994</t>
        </is>
      </c>
      <c r="C158" t="inlineStr">
        <is>
          <t>0                      R  0724000M  2993        1994</t>
        </is>
      </c>
      <c r="D158" t="inlineStr">
        <is>
          <t>Medicine and moral reasoning / edited by K.W.M. Fulford, Grant R. Gillett, and Janet Martin Soskice.</t>
        </is>
      </c>
      <c r="F158" t="inlineStr">
        <is>
          <t>No</t>
        </is>
      </c>
      <c r="G158" t="inlineStr">
        <is>
          <t>1</t>
        </is>
      </c>
      <c r="H158" t="inlineStr">
        <is>
          <t>Yes</t>
        </is>
      </c>
      <c r="I158" t="inlineStr">
        <is>
          <t>No</t>
        </is>
      </c>
      <c r="J158" t="inlineStr">
        <is>
          <t>0</t>
        </is>
      </c>
      <c r="L158" t="inlineStr">
        <is>
          <t>Cambridge [England] ; New York : Cambridge University Press, 1994.</t>
        </is>
      </c>
      <c r="M158" t="inlineStr">
        <is>
          <t>1994</t>
        </is>
      </c>
      <c r="O158" t="inlineStr">
        <is>
          <t>eng</t>
        </is>
      </c>
      <c r="P158" t="inlineStr">
        <is>
          <t>enk</t>
        </is>
      </c>
      <c r="R158" t="inlineStr">
        <is>
          <t xml:space="preserve">R  </t>
        </is>
      </c>
      <c r="S158" t="n">
        <v>22</v>
      </c>
      <c r="T158" t="n">
        <v>25</v>
      </c>
      <c r="U158" t="inlineStr">
        <is>
          <t>2008-04-06</t>
        </is>
      </c>
      <c r="V158" t="inlineStr">
        <is>
          <t>2008-04-06</t>
        </is>
      </c>
      <c r="W158" t="inlineStr">
        <is>
          <t>1995-01-10</t>
        </is>
      </c>
      <c r="X158" t="inlineStr">
        <is>
          <t>1995-02-13</t>
        </is>
      </c>
      <c r="Y158" t="n">
        <v>379</v>
      </c>
      <c r="Z158" t="n">
        <v>257</v>
      </c>
      <c r="AA158" t="n">
        <v>272</v>
      </c>
      <c r="AB158" t="n">
        <v>2</v>
      </c>
      <c r="AC158" t="n">
        <v>2</v>
      </c>
      <c r="AD158" t="n">
        <v>21</v>
      </c>
      <c r="AE158" t="n">
        <v>21</v>
      </c>
      <c r="AF158" t="n">
        <v>7</v>
      </c>
      <c r="AG158" t="n">
        <v>7</v>
      </c>
      <c r="AH158" t="n">
        <v>6</v>
      </c>
      <c r="AI158" t="n">
        <v>6</v>
      </c>
      <c r="AJ158" t="n">
        <v>13</v>
      </c>
      <c r="AK158" t="n">
        <v>13</v>
      </c>
      <c r="AL158" t="n">
        <v>0</v>
      </c>
      <c r="AM158" t="n">
        <v>0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HYPERLINK("https://creighton-primo.hosted.exlibrisgroup.com/primo-explore/search?tab=default_tab&amp;search_scope=EVERYTHING&amp;vid=01CRU&amp;lang=en_US&amp;offset=0&amp;query=any,contains,991001798289702656","Catalog Record")</f>
        <v/>
      </c>
      <c r="AT158">
        <f>HYPERLINK("http://www.worldcat.org/oclc/27974313","WorldCat Record")</f>
        <v/>
      </c>
    </row>
    <row r="159">
      <c r="A159" t="inlineStr">
        <is>
          <t>No</t>
        </is>
      </c>
      <c r="B159" t="inlineStr">
        <is>
          <t>R724 .M35 1995</t>
        </is>
      </c>
      <c r="C159" t="inlineStr">
        <is>
          <t>0                      R  0724000M  35          1995</t>
        </is>
      </c>
      <c r="D159" t="inlineStr">
        <is>
          <t>Body, soul, and bioethics / Gilbert C. Meilaender.</t>
        </is>
      </c>
      <c r="F159" t="inlineStr">
        <is>
          <t>No</t>
        </is>
      </c>
      <c r="G159" t="inlineStr">
        <is>
          <t>1</t>
        </is>
      </c>
      <c r="H159" t="inlineStr">
        <is>
          <t>Yes</t>
        </is>
      </c>
      <c r="I159" t="inlineStr">
        <is>
          <t>No</t>
        </is>
      </c>
      <c r="J159" t="inlineStr">
        <is>
          <t>0</t>
        </is>
      </c>
      <c r="K159" t="inlineStr">
        <is>
          <t>Meilaender, Gilbert, 1946-</t>
        </is>
      </c>
      <c r="L159" t="inlineStr">
        <is>
          <t>Notre Dame : University of Notre Dame Press, c1995.</t>
        </is>
      </c>
      <c r="M159" t="inlineStr">
        <is>
          <t>1995</t>
        </is>
      </c>
      <c r="O159" t="inlineStr">
        <is>
          <t>eng</t>
        </is>
      </c>
      <c r="P159" t="inlineStr">
        <is>
          <t>inu</t>
        </is>
      </c>
      <c r="R159" t="inlineStr">
        <is>
          <t xml:space="preserve">R  </t>
        </is>
      </c>
      <c r="S159" t="n">
        <v>12</v>
      </c>
      <c r="T159" t="n">
        <v>12</v>
      </c>
      <c r="U159" t="inlineStr">
        <is>
          <t>2000-11-02</t>
        </is>
      </c>
      <c r="V159" t="inlineStr">
        <is>
          <t>2000-11-02</t>
        </is>
      </c>
      <c r="W159" t="inlineStr">
        <is>
          <t>1996-06-12</t>
        </is>
      </c>
      <c r="X159" t="inlineStr">
        <is>
          <t>2009-10-08</t>
        </is>
      </c>
      <c r="Y159" t="n">
        <v>424</v>
      </c>
      <c r="Z159" t="n">
        <v>360</v>
      </c>
      <c r="AA159" t="n">
        <v>368</v>
      </c>
      <c r="AB159" t="n">
        <v>3</v>
      </c>
      <c r="AC159" t="n">
        <v>3</v>
      </c>
      <c r="AD159" t="n">
        <v>21</v>
      </c>
      <c r="AE159" t="n">
        <v>21</v>
      </c>
      <c r="AF159" t="n">
        <v>8</v>
      </c>
      <c r="AG159" t="n">
        <v>8</v>
      </c>
      <c r="AH159" t="n">
        <v>5</v>
      </c>
      <c r="AI159" t="n">
        <v>5</v>
      </c>
      <c r="AJ159" t="n">
        <v>13</v>
      </c>
      <c r="AK159" t="n">
        <v>13</v>
      </c>
      <c r="AL159" t="n">
        <v>1</v>
      </c>
      <c r="AM159" t="n">
        <v>1</v>
      </c>
      <c r="AN159" t="n">
        <v>1</v>
      </c>
      <c r="AO159" t="n">
        <v>1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HYPERLINK("http://catalog.hathitrust.org/Record/101973874","HathiTrust Record")</f>
        <v/>
      </c>
      <c r="AS159">
        <f>HYPERLINK("https://creighton-primo.hosted.exlibrisgroup.com/primo-explore/search?tab=default_tab&amp;search_scope=EVERYTHING&amp;vid=01CRU&amp;lang=en_US&amp;offset=0&amp;query=any,contains,991001690149702656","Catalog Record")</f>
        <v/>
      </c>
      <c r="AT159">
        <f>HYPERLINK("http://www.worldcat.org/oclc/32464966","WorldCat Record")</f>
        <v/>
      </c>
    </row>
    <row r="160">
      <c r="A160" t="inlineStr">
        <is>
          <t>No</t>
        </is>
      </c>
      <c r="B160" t="inlineStr">
        <is>
          <t>R724 .M4</t>
        </is>
      </c>
      <c r="C160" t="inlineStr">
        <is>
          <t>0                      R  0724000M  4</t>
        </is>
      </c>
      <c r="D160" t="inlineStr">
        <is>
          <t>Medical ethics and social change / special editor, Bernard Barber.</t>
        </is>
      </c>
      <c r="F160" t="inlineStr">
        <is>
          <t>No</t>
        </is>
      </c>
      <c r="G160" t="inlineStr">
        <is>
          <t>1</t>
        </is>
      </c>
      <c r="H160" t="inlineStr">
        <is>
          <t>Yes</t>
        </is>
      </c>
      <c r="I160" t="inlineStr">
        <is>
          <t>No</t>
        </is>
      </c>
      <c r="J160" t="inlineStr">
        <is>
          <t>0</t>
        </is>
      </c>
      <c r="L160" t="inlineStr">
        <is>
          <t>Philadelphia : American Academy of Political and Social Science, 1978.</t>
        </is>
      </c>
      <c r="M160" t="inlineStr">
        <is>
          <t>1978</t>
        </is>
      </c>
      <c r="O160" t="inlineStr">
        <is>
          <t>eng</t>
        </is>
      </c>
      <c r="P160" t="inlineStr">
        <is>
          <t>pau</t>
        </is>
      </c>
      <c r="Q160" t="inlineStr">
        <is>
          <t>The Annals of the American Academy of Political and Social Science ; v. 437</t>
        </is>
      </c>
      <c r="R160" t="inlineStr">
        <is>
          <t xml:space="preserve">R  </t>
        </is>
      </c>
      <c r="S160" t="n">
        <v>5</v>
      </c>
      <c r="T160" t="n">
        <v>10</v>
      </c>
      <c r="U160" t="inlineStr">
        <is>
          <t>2001-04-10</t>
        </is>
      </c>
      <c r="V160" t="inlineStr">
        <is>
          <t>2001-04-10</t>
        </is>
      </c>
      <c r="W160" t="inlineStr">
        <is>
          <t>1992-04-08</t>
        </is>
      </c>
      <c r="X160" t="inlineStr">
        <is>
          <t>1992-04-08</t>
        </is>
      </c>
      <c r="Y160" t="n">
        <v>389</v>
      </c>
      <c r="Z160" t="n">
        <v>343</v>
      </c>
      <c r="AA160" t="n">
        <v>352</v>
      </c>
      <c r="AB160" t="n">
        <v>3</v>
      </c>
      <c r="AC160" t="n">
        <v>3</v>
      </c>
      <c r="AD160" t="n">
        <v>15</v>
      </c>
      <c r="AE160" t="n">
        <v>15</v>
      </c>
      <c r="AF160" t="n">
        <v>4</v>
      </c>
      <c r="AG160" t="n">
        <v>4</v>
      </c>
      <c r="AH160" t="n">
        <v>2</v>
      </c>
      <c r="AI160" t="n">
        <v>2</v>
      </c>
      <c r="AJ160" t="n">
        <v>9</v>
      </c>
      <c r="AK160" t="n">
        <v>9</v>
      </c>
      <c r="AL160" t="n">
        <v>1</v>
      </c>
      <c r="AM160" t="n">
        <v>1</v>
      </c>
      <c r="AN160" t="n">
        <v>3</v>
      </c>
      <c r="AO160" t="n">
        <v>3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HYPERLINK("https://creighton-primo.hosted.exlibrisgroup.com/primo-explore/search?tab=default_tab&amp;search_scope=EVERYTHING&amp;vid=01CRU&amp;lang=en_US&amp;offset=0&amp;query=any,contains,991001792399702656","Catalog Record")</f>
        <v/>
      </c>
      <c r="AT160">
        <f>HYPERLINK("http://www.worldcat.org/oclc/3964331","WorldCat Record")</f>
        <v/>
      </c>
    </row>
    <row r="161">
      <c r="A161" t="inlineStr">
        <is>
          <t>No</t>
        </is>
      </c>
      <c r="B161" t="inlineStr">
        <is>
          <t>R724 .M82</t>
        </is>
      </c>
      <c r="C161" t="inlineStr">
        <is>
          <t>0                      R  0724000M  82</t>
        </is>
      </c>
      <c r="D161" t="inlineStr">
        <is>
          <t>Moral problems in medicine / edited with introductions by Samuel Gorovitz ... [et al.].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Yes</t>
        </is>
      </c>
      <c r="J161" t="inlineStr">
        <is>
          <t>0</t>
        </is>
      </c>
      <c r="L161" t="inlineStr">
        <is>
          <t>Englewood Cliffs, N.J. : Prentice-Hall, c1976.</t>
        </is>
      </c>
      <c r="M161" t="inlineStr">
        <is>
          <t>1976</t>
        </is>
      </c>
      <c r="O161" t="inlineStr">
        <is>
          <t>eng</t>
        </is>
      </c>
      <c r="P161" t="inlineStr">
        <is>
          <t>nju</t>
        </is>
      </c>
      <c r="R161" t="inlineStr">
        <is>
          <t xml:space="preserve">R  </t>
        </is>
      </c>
      <c r="S161" t="n">
        <v>30</v>
      </c>
      <c r="T161" t="n">
        <v>30</v>
      </c>
      <c r="U161" t="inlineStr">
        <is>
          <t>2005-09-15</t>
        </is>
      </c>
      <c r="V161" t="inlineStr">
        <is>
          <t>2005-09-15</t>
        </is>
      </c>
      <c r="W161" t="inlineStr">
        <is>
          <t>1991-10-16</t>
        </is>
      </c>
      <c r="X161" t="inlineStr">
        <is>
          <t>1991-10-16</t>
        </is>
      </c>
      <c r="Y161" t="n">
        <v>725</v>
      </c>
      <c r="Z161" t="n">
        <v>595</v>
      </c>
      <c r="AA161" t="n">
        <v>771</v>
      </c>
      <c r="AB161" t="n">
        <v>4</v>
      </c>
      <c r="AC161" t="n">
        <v>6</v>
      </c>
      <c r="AD161" t="n">
        <v>25</v>
      </c>
      <c r="AE161" t="n">
        <v>38</v>
      </c>
      <c r="AF161" t="n">
        <v>9</v>
      </c>
      <c r="AG161" t="n">
        <v>12</v>
      </c>
      <c r="AH161" t="n">
        <v>4</v>
      </c>
      <c r="AI161" t="n">
        <v>5</v>
      </c>
      <c r="AJ161" t="n">
        <v>13</v>
      </c>
      <c r="AK161" t="n">
        <v>20</v>
      </c>
      <c r="AL161" t="n">
        <v>3</v>
      </c>
      <c r="AM161" t="n">
        <v>3</v>
      </c>
      <c r="AN161" t="n">
        <v>2</v>
      </c>
      <c r="AO161" t="n">
        <v>7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HYPERLINK("http://catalog.hathitrust.org/Record/000716142","HathiTrust Record")</f>
        <v/>
      </c>
      <c r="AS161">
        <f>HYPERLINK("https://creighton-primo.hosted.exlibrisgroup.com/primo-explore/search?tab=default_tab&amp;search_scope=EVERYTHING&amp;vid=01CRU&amp;lang=en_US&amp;offset=0&amp;query=any,contains,991003959439702656","Catalog Record")</f>
        <v/>
      </c>
      <c r="AT161">
        <f>HYPERLINK("http://www.worldcat.org/oclc/1974034","WorldCat Record")</f>
        <v/>
      </c>
    </row>
    <row r="162">
      <c r="A162" t="inlineStr">
        <is>
          <t>No</t>
        </is>
      </c>
      <c r="B162" t="inlineStr">
        <is>
          <t>R724 .N44</t>
        </is>
      </c>
      <c r="C162" t="inlineStr">
        <is>
          <t>0                      R  0724000N  44</t>
        </is>
      </c>
      <c r="D162" t="inlineStr">
        <is>
          <t>Human medicine; ethical perspectives on new medical issues [by] James B. Nelson.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Nelson, James B.</t>
        </is>
      </c>
      <c r="L162" t="inlineStr">
        <is>
          <t>Minneapolis, Augsburg Pub. House [1973]</t>
        </is>
      </c>
      <c r="M162" t="inlineStr">
        <is>
          <t>1973</t>
        </is>
      </c>
      <c r="O162" t="inlineStr">
        <is>
          <t>eng</t>
        </is>
      </c>
      <c r="P162" t="inlineStr">
        <is>
          <t>mnu</t>
        </is>
      </c>
      <c r="R162" t="inlineStr">
        <is>
          <t xml:space="preserve">R  </t>
        </is>
      </c>
      <c r="S162" t="n">
        <v>4</v>
      </c>
      <c r="T162" t="n">
        <v>4</v>
      </c>
      <c r="U162" t="inlineStr">
        <is>
          <t>1999-04-05</t>
        </is>
      </c>
      <c r="V162" t="inlineStr">
        <is>
          <t>1999-04-05</t>
        </is>
      </c>
      <c r="W162" t="inlineStr">
        <is>
          <t>1991-12-13</t>
        </is>
      </c>
      <c r="X162" t="inlineStr">
        <is>
          <t>1991-12-13</t>
        </is>
      </c>
      <c r="Y162" t="n">
        <v>391</v>
      </c>
      <c r="Z162" t="n">
        <v>328</v>
      </c>
      <c r="AA162" t="n">
        <v>514</v>
      </c>
      <c r="AB162" t="n">
        <v>2</v>
      </c>
      <c r="AC162" t="n">
        <v>3</v>
      </c>
      <c r="AD162" t="n">
        <v>12</v>
      </c>
      <c r="AE162" t="n">
        <v>22</v>
      </c>
      <c r="AF162" t="n">
        <v>2</v>
      </c>
      <c r="AG162" t="n">
        <v>5</v>
      </c>
      <c r="AH162" t="n">
        <v>3</v>
      </c>
      <c r="AI162" t="n">
        <v>5</v>
      </c>
      <c r="AJ162" t="n">
        <v>9</v>
      </c>
      <c r="AK162" t="n">
        <v>14</v>
      </c>
      <c r="AL162" t="n">
        <v>1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HYPERLINK("http://catalog.hathitrust.org/Record/001557841","HathiTrust Record")</f>
        <v/>
      </c>
      <c r="AS162">
        <f>HYPERLINK("https://creighton-primo.hosted.exlibrisgroup.com/primo-explore/search?tab=default_tab&amp;search_scope=EVERYTHING&amp;vid=01CRU&amp;lang=en_US&amp;offset=0&amp;query=any,contains,991005265319702656","Catalog Record")</f>
        <v/>
      </c>
      <c r="AT162">
        <f>HYPERLINK("http://www.worldcat.org/oclc/703354","WorldCat Record")</f>
        <v/>
      </c>
    </row>
    <row r="163">
      <c r="A163" t="inlineStr">
        <is>
          <t>No</t>
        </is>
      </c>
      <c r="B163" t="inlineStr">
        <is>
          <t>R724 .N46</t>
        </is>
      </c>
      <c r="C163" t="inlineStr">
        <is>
          <t>0                      R  0724000N  46</t>
        </is>
      </c>
      <c r="D163" t="inlineStr">
        <is>
          <t>Rediscovering the person in medical care : patient, family, physician, nurse, chaplain, pastor / James B. Nelson.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Nelson, James B.</t>
        </is>
      </c>
      <c r="L163" t="inlineStr">
        <is>
          <t>Minneapolis : Augsburg Pub. House, c1976.</t>
        </is>
      </c>
      <c r="M163" t="inlineStr">
        <is>
          <t>1976</t>
        </is>
      </c>
      <c r="O163" t="inlineStr">
        <is>
          <t>eng</t>
        </is>
      </c>
      <c r="P163" t="inlineStr">
        <is>
          <t>mnu</t>
        </is>
      </c>
      <c r="R163" t="inlineStr">
        <is>
          <t xml:space="preserve">R  </t>
        </is>
      </c>
      <c r="S163" t="n">
        <v>5</v>
      </c>
      <c r="T163" t="n">
        <v>5</v>
      </c>
      <c r="U163" t="inlineStr">
        <is>
          <t>2006-10-13</t>
        </is>
      </c>
      <c r="V163" t="inlineStr">
        <is>
          <t>2006-10-13</t>
        </is>
      </c>
      <c r="W163" t="inlineStr">
        <is>
          <t>1993-03-08</t>
        </is>
      </c>
      <c r="X163" t="inlineStr">
        <is>
          <t>1993-03-08</t>
        </is>
      </c>
      <c r="Y163" t="n">
        <v>176</v>
      </c>
      <c r="Z163" t="n">
        <v>150</v>
      </c>
      <c r="AA163" t="n">
        <v>157</v>
      </c>
      <c r="AB163" t="n">
        <v>2</v>
      </c>
      <c r="AC163" t="n">
        <v>2</v>
      </c>
      <c r="AD163" t="n">
        <v>11</v>
      </c>
      <c r="AE163" t="n">
        <v>11</v>
      </c>
      <c r="AF163" t="n">
        <v>3</v>
      </c>
      <c r="AG163" t="n">
        <v>3</v>
      </c>
      <c r="AH163" t="n">
        <v>1</v>
      </c>
      <c r="AI163" t="n">
        <v>1</v>
      </c>
      <c r="AJ163" t="n">
        <v>8</v>
      </c>
      <c r="AK163" t="n">
        <v>8</v>
      </c>
      <c r="AL163" t="n">
        <v>1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HYPERLINK("http://catalog.hathitrust.org/Record/004934148","HathiTrust Record")</f>
        <v/>
      </c>
      <c r="AS163">
        <f>HYPERLINK("https://creighton-primo.hosted.exlibrisgroup.com/primo-explore/search?tab=default_tab&amp;search_scope=EVERYTHING&amp;vid=01CRU&amp;lang=en_US&amp;offset=0&amp;query=any,contains,991004129549702656","Catalog Record")</f>
        <v/>
      </c>
      <c r="AT163">
        <f>HYPERLINK("http://www.worldcat.org/oclc/2464486","WorldCat Record")</f>
        <v/>
      </c>
    </row>
    <row r="164">
      <c r="A164" t="inlineStr">
        <is>
          <t>No</t>
        </is>
      </c>
      <c r="B164" t="inlineStr">
        <is>
          <t>R724 .O28</t>
        </is>
      </c>
      <c r="C164" t="inlineStr">
        <is>
          <t>0                      R  0724000O  28</t>
        </is>
      </c>
      <c r="D164" t="inlineStr">
        <is>
          <t>Medicine and Christian morality / Thomas J. O'Donnell.</t>
        </is>
      </c>
      <c r="F164" t="inlineStr">
        <is>
          <t>No</t>
        </is>
      </c>
      <c r="G164" t="inlineStr">
        <is>
          <t>1</t>
        </is>
      </c>
      <c r="H164" t="inlineStr">
        <is>
          <t>Yes</t>
        </is>
      </c>
      <c r="I164" t="inlineStr">
        <is>
          <t>Yes</t>
        </is>
      </c>
      <c r="J164" t="inlineStr">
        <is>
          <t>0</t>
        </is>
      </c>
      <c r="K164" t="inlineStr">
        <is>
          <t>O'Donnell, Thomas J. (Thomas Joseph), 1918-</t>
        </is>
      </c>
      <c r="L164" t="inlineStr">
        <is>
          <t>New York : Alba House, c1976.</t>
        </is>
      </c>
      <c r="M164" t="inlineStr">
        <is>
          <t>1976</t>
        </is>
      </c>
      <c r="O164" t="inlineStr">
        <is>
          <t>eng</t>
        </is>
      </c>
      <c r="P164" t="inlineStr">
        <is>
          <t>nyu</t>
        </is>
      </c>
      <c r="R164" t="inlineStr">
        <is>
          <t xml:space="preserve">R  </t>
        </is>
      </c>
      <c r="S164" t="n">
        <v>6</v>
      </c>
      <c r="T164" t="n">
        <v>8</v>
      </c>
      <c r="U164" t="inlineStr">
        <is>
          <t>2001-11-04</t>
        </is>
      </c>
      <c r="V164" t="inlineStr">
        <is>
          <t>2001-11-04</t>
        </is>
      </c>
      <c r="W164" t="inlineStr">
        <is>
          <t>1997-08-07</t>
        </is>
      </c>
      <c r="X164" t="inlineStr">
        <is>
          <t>1997-08-07</t>
        </is>
      </c>
      <c r="Y164" t="n">
        <v>261</v>
      </c>
      <c r="Z164" t="n">
        <v>230</v>
      </c>
      <c r="AA164" t="n">
        <v>301</v>
      </c>
      <c r="AB164" t="n">
        <v>3</v>
      </c>
      <c r="AC164" t="n">
        <v>4</v>
      </c>
      <c r="AD164" t="n">
        <v>23</v>
      </c>
      <c r="AE164" t="n">
        <v>27</v>
      </c>
      <c r="AF164" t="n">
        <v>6</v>
      </c>
      <c r="AG164" t="n">
        <v>7</v>
      </c>
      <c r="AH164" t="n">
        <v>7</v>
      </c>
      <c r="AI164" t="n">
        <v>8</v>
      </c>
      <c r="AJ164" t="n">
        <v>17</v>
      </c>
      <c r="AK164" t="n">
        <v>20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HYPERLINK("https://creighton-primo.hosted.exlibrisgroup.com/primo-explore/search?tab=default_tab&amp;search_scope=EVERYTHING&amp;vid=01CRU&amp;lang=en_US&amp;offset=0&amp;query=any,contains,991001786509702656","Catalog Record")</f>
        <v/>
      </c>
      <c r="AT164">
        <f>HYPERLINK("http://www.worldcat.org/oclc/1975980","WorldCat Record")</f>
        <v/>
      </c>
    </row>
    <row r="165">
      <c r="A165" t="inlineStr">
        <is>
          <t>No</t>
        </is>
      </c>
      <c r="B165" t="inlineStr">
        <is>
          <t>R724 .O94 2006</t>
        </is>
      </c>
      <c r="C165" t="inlineStr">
        <is>
          <t>0                      R  0724000O  94          2006</t>
        </is>
      </c>
      <c r="D165" t="inlineStr">
        <is>
          <t>Ethics and AIDS : compassion and justice in a global crisis / Kenneth R. Overberg.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Overberg, Kenneth R.</t>
        </is>
      </c>
      <c r="L165" t="inlineStr">
        <is>
          <t>Lanham, Md. : Rowman &amp; Littlefield, c2006.</t>
        </is>
      </c>
      <c r="M165" t="inlineStr">
        <is>
          <t>2006</t>
        </is>
      </c>
      <c r="O165" t="inlineStr">
        <is>
          <t>eng</t>
        </is>
      </c>
      <c r="P165" t="inlineStr">
        <is>
          <t>mdu</t>
        </is>
      </c>
      <c r="R165" t="inlineStr">
        <is>
          <t xml:space="preserve">R  </t>
        </is>
      </c>
      <c r="S165" t="n">
        <v>1</v>
      </c>
      <c r="T165" t="n">
        <v>1</v>
      </c>
      <c r="U165" t="inlineStr">
        <is>
          <t>2010-10-12</t>
        </is>
      </c>
      <c r="V165" t="inlineStr">
        <is>
          <t>2010-10-12</t>
        </is>
      </c>
      <c r="W165" t="inlineStr">
        <is>
          <t>2010-10-12</t>
        </is>
      </c>
      <c r="X165" t="inlineStr">
        <is>
          <t>2010-10-12</t>
        </is>
      </c>
      <c r="Y165" t="n">
        <v>196</v>
      </c>
      <c r="Z165" t="n">
        <v>154</v>
      </c>
      <c r="AA165" t="n">
        <v>157</v>
      </c>
      <c r="AB165" t="n">
        <v>1</v>
      </c>
      <c r="AC165" t="n">
        <v>1</v>
      </c>
      <c r="AD165" t="n">
        <v>16</v>
      </c>
      <c r="AE165" t="n">
        <v>16</v>
      </c>
      <c r="AF165" t="n">
        <v>4</v>
      </c>
      <c r="AG165" t="n">
        <v>4</v>
      </c>
      <c r="AH165" t="n">
        <v>4</v>
      </c>
      <c r="AI165" t="n">
        <v>4</v>
      </c>
      <c r="AJ165" t="n">
        <v>12</v>
      </c>
      <c r="AK165" t="n">
        <v>12</v>
      </c>
      <c r="AL165" t="n">
        <v>0</v>
      </c>
      <c r="AM165" t="n">
        <v>0</v>
      </c>
      <c r="AN165" t="n">
        <v>1</v>
      </c>
      <c r="AO165" t="n">
        <v>1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HYPERLINK("https://creighton-primo.hosted.exlibrisgroup.com/primo-explore/search?tab=default_tab&amp;search_scope=EVERYTHING&amp;vid=01CRU&amp;lang=en_US&amp;offset=0&amp;query=any,contains,991000174469702656","Catalog Record")</f>
        <v/>
      </c>
      <c r="AT165">
        <f>HYPERLINK("http://www.worldcat.org/oclc/69671882","WorldCat Record")</f>
        <v/>
      </c>
    </row>
    <row r="166">
      <c r="A166" t="inlineStr">
        <is>
          <t>No</t>
        </is>
      </c>
      <c r="B166" t="inlineStr">
        <is>
          <t>R724 .P38</t>
        </is>
      </c>
      <c r="C166" t="inlineStr">
        <is>
          <t>0                      R  0724000P  38</t>
        </is>
      </c>
      <c r="D166" t="inlineStr">
        <is>
          <t>Ethical options in medicine / Gregory E. Pence.</t>
        </is>
      </c>
      <c r="F166" t="inlineStr">
        <is>
          <t>No</t>
        </is>
      </c>
      <c r="G166" t="inlineStr">
        <is>
          <t>1</t>
        </is>
      </c>
      <c r="H166" t="inlineStr">
        <is>
          <t>Yes</t>
        </is>
      </c>
      <c r="I166" t="inlineStr">
        <is>
          <t>No</t>
        </is>
      </c>
      <c r="J166" t="inlineStr">
        <is>
          <t>0</t>
        </is>
      </c>
      <c r="K166" t="inlineStr">
        <is>
          <t>Pence, Gregory E.</t>
        </is>
      </c>
      <c r="L166" t="inlineStr">
        <is>
          <t>Oradell, N.J. : Medical Economics Co., Book Division, c1980.</t>
        </is>
      </c>
      <c r="M166" t="inlineStr">
        <is>
          <t>1980</t>
        </is>
      </c>
      <c r="O166" t="inlineStr">
        <is>
          <t>eng</t>
        </is>
      </c>
      <c r="P166" t="inlineStr">
        <is>
          <t>nju</t>
        </is>
      </c>
      <c r="R166" t="inlineStr">
        <is>
          <t xml:space="preserve">R  </t>
        </is>
      </c>
      <c r="S166" t="n">
        <v>11</v>
      </c>
      <c r="T166" t="n">
        <v>11</v>
      </c>
      <c r="U166" t="inlineStr">
        <is>
          <t>1999-03-22</t>
        </is>
      </c>
      <c r="V166" t="inlineStr">
        <is>
          <t>1999-03-22</t>
        </is>
      </c>
      <c r="W166" t="inlineStr">
        <is>
          <t>1991-12-04</t>
        </is>
      </c>
      <c r="X166" t="inlineStr">
        <is>
          <t>1991-12-04</t>
        </is>
      </c>
      <c r="Y166" t="n">
        <v>247</v>
      </c>
      <c r="Z166" t="n">
        <v>223</v>
      </c>
      <c r="AA166" t="n">
        <v>228</v>
      </c>
      <c r="AB166" t="n">
        <v>2</v>
      </c>
      <c r="AC166" t="n">
        <v>2</v>
      </c>
      <c r="AD166" t="n">
        <v>12</v>
      </c>
      <c r="AE166" t="n">
        <v>12</v>
      </c>
      <c r="AF166" t="n">
        <v>3</v>
      </c>
      <c r="AG166" t="n">
        <v>3</v>
      </c>
      <c r="AH166" t="n">
        <v>3</v>
      </c>
      <c r="AI166" t="n">
        <v>3</v>
      </c>
      <c r="AJ166" t="n">
        <v>8</v>
      </c>
      <c r="AK166" t="n">
        <v>8</v>
      </c>
      <c r="AL166" t="n">
        <v>0</v>
      </c>
      <c r="AM166" t="n">
        <v>0</v>
      </c>
      <c r="AN166" t="n">
        <v>2</v>
      </c>
      <c r="AO166" t="n">
        <v>2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HYPERLINK("https://creighton-primo.hosted.exlibrisgroup.com/primo-explore/search?tab=default_tab&amp;search_scope=EVERYTHING&amp;vid=01CRU&amp;lang=en_US&amp;offset=0&amp;query=any,contains,991004970359702656","Catalog Record")</f>
        <v/>
      </c>
      <c r="AT166">
        <f>HYPERLINK("http://www.worldcat.org/oclc/6357394","WorldCat Record")</f>
        <v/>
      </c>
    </row>
    <row r="167">
      <c r="A167" t="inlineStr">
        <is>
          <t>No</t>
        </is>
      </c>
      <c r="B167" t="inlineStr">
        <is>
          <t>R724 .P436 1998</t>
        </is>
      </c>
      <c r="C167" t="inlineStr">
        <is>
          <t>0                      R  0724000P  436         1998</t>
        </is>
      </c>
      <c r="D167" t="inlineStr">
        <is>
          <t>Living and dying well / Lewis Petrinovich.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Petrinovich, Lewis F.</t>
        </is>
      </c>
      <c r="L167" t="inlineStr">
        <is>
          <t>Cambridge, Mass. : MIT Press, 1998.</t>
        </is>
      </c>
      <c r="M167" t="inlineStr">
        <is>
          <t>1998</t>
        </is>
      </c>
      <c r="N167" t="inlineStr">
        <is>
          <t>1st MIT Press ed.</t>
        </is>
      </c>
      <c r="O167" t="inlineStr">
        <is>
          <t>eng</t>
        </is>
      </c>
      <c r="P167" t="inlineStr">
        <is>
          <t>mau</t>
        </is>
      </c>
      <c r="R167" t="inlineStr">
        <is>
          <t xml:space="preserve">R  </t>
        </is>
      </c>
      <c r="S167" t="n">
        <v>11</v>
      </c>
      <c r="T167" t="n">
        <v>11</v>
      </c>
      <c r="U167" t="inlineStr">
        <is>
          <t>2005-04-20</t>
        </is>
      </c>
      <c r="V167" t="inlineStr">
        <is>
          <t>2005-04-20</t>
        </is>
      </c>
      <c r="W167" t="inlineStr">
        <is>
          <t>1998-12-14</t>
        </is>
      </c>
      <c r="X167" t="inlineStr">
        <is>
          <t>1998-12-14</t>
        </is>
      </c>
      <c r="Y167" t="n">
        <v>78</v>
      </c>
      <c r="Z167" t="n">
        <v>43</v>
      </c>
      <c r="AA167" t="n">
        <v>358</v>
      </c>
      <c r="AB167" t="n">
        <v>1</v>
      </c>
      <c r="AC167" t="n">
        <v>2</v>
      </c>
      <c r="AD167" t="n">
        <v>1</v>
      </c>
      <c r="AE167" t="n">
        <v>17</v>
      </c>
      <c r="AF167" t="n">
        <v>0</v>
      </c>
      <c r="AG167" t="n">
        <v>7</v>
      </c>
      <c r="AH167" t="n">
        <v>0</v>
      </c>
      <c r="AI167" t="n">
        <v>4</v>
      </c>
      <c r="AJ167" t="n">
        <v>1</v>
      </c>
      <c r="AK167" t="n">
        <v>12</v>
      </c>
      <c r="AL167" t="n">
        <v>0</v>
      </c>
      <c r="AM167" t="n">
        <v>1</v>
      </c>
      <c r="AN167" t="n">
        <v>0</v>
      </c>
      <c r="AO167" t="n">
        <v>1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HYPERLINK("https://creighton-primo.hosted.exlibrisgroup.com/primo-explore/search?tab=default_tab&amp;search_scope=EVERYTHING&amp;vid=01CRU&amp;lang=en_US&amp;offset=0&amp;query=any,contains,991002941769702656","Catalog Record")</f>
        <v/>
      </c>
      <c r="AT167">
        <f>HYPERLINK("http://www.worldcat.org/oclc/39162308","WorldCat Record")</f>
        <v/>
      </c>
    </row>
    <row r="168">
      <c r="A168" t="inlineStr">
        <is>
          <t>No</t>
        </is>
      </c>
      <c r="B168" t="inlineStr">
        <is>
          <t>R724 .P79 1981</t>
        </is>
      </c>
      <c r="C168" t="inlineStr">
        <is>
          <t>0                      R  0724000P  79          1981</t>
        </is>
      </c>
      <c r="D168" t="inlineStr">
        <is>
          <t>Psychiatric ethics / edited by Sidney Bloch and Paul Chodoff.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Yes</t>
        </is>
      </c>
      <c r="J168" t="inlineStr">
        <is>
          <t>0</t>
        </is>
      </c>
      <c r="L168" t="inlineStr">
        <is>
          <t>Oxford ; New York : Oxford University Press, 1981.</t>
        </is>
      </c>
      <c r="M168" t="inlineStr">
        <is>
          <t>1981</t>
        </is>
      </c>
      <c r="O168" t="inlineStr">
        <is>
          <t>eng</t>
        </is>
      </c>
      <c r="P168" t="inlineStr">
        <is>
          <t>enk</t>
        </is>
      </c>
      <c r="R168" t="inlineStr">
        <is>
          <t xml:space="preserve">R  </t>
        </is>
      </c>
      <c r="S168" t="n">
        <v>11</v>
      </c>
      <c r="T168" t="n">
        <v>11</v>
      </c>
      <c r="U168" t="inlineStr">
        <is>
          <t>2004-02-17</t>
        </is>
      </c>
      <c r="V168" t="inlineStr">
        <is>
          <t>2004-02-17</t>
        </is>
      </c>
      <c r="W168" t="inlineStr">
        <is>
          <t>1992-04-07</t>
        </is>
      </c>
      <c r="X168" t="inlineStr">
        <is>
          <t>1992-04-07</t>
        </is>
      </c>
      <c r="Y168" t="n">
        <v>553</v>
      </c>
      <c r="Z168" t="n">
        <v>430</v>
      </c>
      <c r="AA168" t="n">
        <v>692</v>
      </c>
      <c r="AB168" t="n">
        <v>2</v>
      </c>
      <c r="AC168" t="n">
        <v>3</v>
      </c>
      <c r="AD168" t="n">
        <v>17</v>
      </c>
      <c r="AE168" t="n">
        <v>35</v>
      </c>
      <c r="AF168" t="n">
        <v>6</v>
      </c>
      <c r="AG168" t="n">
        <v>16</v>
      </c>
      <c r="AH168" t="n">
        <v>5</v>
      </c>
      <c r="AI168" t="n">
        <v>7</v>
      </c>
      <c r="AJ168" t="n">
        <v>8</v>
      </c>
      <c r="AK168" t="n">
        <v>16</v>
      </c>
      <c r="AL168" t="n">
        <v>1</v>
      </c>
      <c r="AM168" t="n">
        <v>1</v>
      </c>
      <c r="AN168" t="n">
        <v>1</v>
      </c>
      <c r="AO168" t="n">
        <v>3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HYPERLINK("http://catalog.hathitrust.org/Record/000103376","HathiTrust Record")</f>
        <v/>
      </c>
      <c r="AS168">
        <f>HYPERLINK("https://creighton-primo.hosted.exlibrisgroup.com/primo-explore/search?tab=default_tab&amp;search_scope=EVERYTHING&amp;vid=01CRU&amp;lang=en_US&amp;offset=0&amp;query=any,contains,991005266329702656","Catalog Record")</f>
        <v/>
      </c>
      <c r="AT168">
        <f>HYPERLINK("http://www.worldcat.org/oclc/7789518","WorldCat Record")</f>
        <v/>
      </c>
    </row>
    <row r="169">
      <c r="A169" t="inlineStr">
        <is>
          <t>No</t>
        </is>
      </c>
      <c r="B169" t="inlineStr">
        <is>
          <t>R724 .R3</t>
        </is>
      </c>
      <c r="C169" t="inlineStr">
        <is>
          <t>0                      R  0724000R  3</t>
        </is>
      </c>
      <c r="D169" t="inlineStr">
        <is>
          <t>Ethics at the edges of life : medical and legal intersections / Paul Ramsey.</t>
        </is>
      </c>
      <c r="F169" t="inlineStr">
        <is>
          <t>No</t>
        </is>
      </c>
      <c r="G169" t="inlineStr">
        <is>
          <t>1</t>
        </is>
      </c>
      <c r="H169" t="inlineStr">
        <is>
          <t>Yes</t>
        </is>
      </c>
      <c r="I169" t="inlineStr">
        <is>
          <t>No</t>
        </is>
      </c>
      <c r="J169" t="inlineStr">
        <is>
          <t>0</t>
        </is>
      </c>
      <c r="K169" t="inlineStr">
        <is>
          <t>Ramsey, Paul.</t>
        </is>
      </c>
      <c r="L169" t="inlineStr">
        <is>
          <t>New Haven : Yale University Press, 1978.</t>
        </is>
      </c>
      <c r="M169" t="inlineStr">
        <is>
          <t>1978</t>
        </is>
      </c>
      <c r="O169" t="inlineStr">
        <is>
          <t>eng</t>
        </is>
      </c>
      <c r="P169" t="inlineStr">
        <is>
          <t>ctu</t>
        </is>
      </c>
      <c r="Q169" t="inlineStr">
        <is>
          <t>The Bampton lectures in America</t>
        </is>
      </c>
      <c r="R169" t="inlineStr">
        <is>
          <t xml:space="preserve">R  </t>
        </is>
      </c>
      <c r="S169" t="n">
        <v>7</v>
      </c>
      <c r="T169" t="n">
        <v>18</v>
      </c>
      <c r="U169" t="inlineStr">
        <is>
          <t>1998-11-02</t>
        </is>
      </c>
      <c r="V169" t="inlineStr">
        <is>
          <t>1998-11-02</t>
        </is>
      </c>
      <c r="W169" t="inlineStr">
        <is>
          <t>1990-03-13</t>
        </is>
      </c>
      <c r="X169" t="inlineStr">
        <is>
          <t>2012-11-27</t>
        </is>
      </c>
      <c r="Y169" t="n">
        <v>1269</v>
      </c>
      <c r="Z169" t="n">
        <v>1106</v>
      </c>
      <c r="AA169" t="n">
        <v>1118</v>
      </c>
      <c r="AB169" t="n">
        <v>9</v>
      </c>
      <c r="AC169" t="n">
        <v>9</v>
      </c>
      <c r="AD169" t="n">
        <v>59</v>
      </c>
      <c r="AE169" t="n">
        <v>59</v>
      </c>
      <c r="AF169" t="n">
        <v>17</v>
      </c>
      <c r="AG169" t="n">
        <v>17</v>
      </c>
      <c r="AH169" t="n">
        <v>7</v>
      </c>
      <c r="AI169" t="n">
        <v>7</v>
      </c>
      <c r="AJ169" t="n">
        <v>23</v>
      </c>
      <c r="AK169" t="n">
        <v>23</v>
      </c>
      <c r="AL169" t="n">
        <v>4</v>
      </c>
      <c r="AM169" t="n">
        <v>4</v>
      </c>
      <c r="AN169" t="n">
        <v>20</v>
      </c>
      <c r="AO169" t="n">
        <v>20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HYPERLINK("http://catalog.hathitrust.org/Record/000029697","HathiTrust Record")</f>
        <v/>
      </c>
      <c r="AS169">
        <f>HYPERLINK("https://creighton-primo.hosted.exlibrisgroup.com/primo-explore/search?tab=default_tab&amp;search_scope=EVERYTHING&amp;vid=01CRU&amp;lang=en_US&amp;offset=0&amp;query=any,contains,991001782839702656","Catalog Record")</f>
        <v/>
      </c>
      <c r="AT169">
        <f>HYPERLINK("http://www.worldcat.org/oclc/3414018","WorldCat Record")</f>
        <v/>
      </c>
    </row>
    <row r="170">
      <c r="A170" t="inlineStr">
        <is>
          <t>No</t>
        </is>
      </c>
      <c r="B170" t="inlineStr">
        <is>
          <t>R724 .S394 1982</t>
        </is>
      </c>
      <c r="C170" t="inlineStr">
        <is>
          <t>0                      R  0724000S  394         1982</t>
        </is>
      </c>
      <c r="D170" t="inlineStr">
        <is>
          <t>Science and morality : new directions in bioethics / edited by Doris Teichler-Zallen, Colleen D. Clements.</t>
        </is>
      </c>
      <c r="F170" t="inlineStr">
        <is>
          <t>No</t>
        </is>
      </c>
      <c r="G170" t="inlineStr">
        <is>
          <t>1</t>
        </is>
      </c>
      <c r="H170" t="inlineStr">
        <is>
          <t>Yes</t>
        </is>
      </c>
      <c r="I170" t="inlineStr">
        <is>
          <t>No</t>
        </is>
      </c>
      <c r="J170" t="inlineStr">
        <is>
          <t>0</t>
        </is>
      </c>
      <c r="L170" t="inlineStr">
        <is>
          <t>Lexington, Mass. : Lexington Books, c1982.</t>
        </is>
      </c>
      <c r="M170" t="inlineStr">
        <is>
          <t>1982</t>
        </is>
      </c>
      <c r="O170" t="inlineStr">
        <is>
          <t>eng</t>
        </is>
      </c>
      <c r="P170" t="inlineStr">
        <is>
          <t>mau</t>
        </is>
      </c>
      <c r="R170" t="inlineStr">
        <is>
          <t xml:space="preserve">R  </t>
        </is>
      </c>
      <c r="S170" t="n">
        <v>4</v>
      </c>
      <c r="T170" t="n">
        <v>5</v>
      </c>
      <c r="U170" t="inlineStr">
        <is>
          <t>2001-03-21</t>
        </is>
      </c>
      <c r="V170" t="inlineStr">
        <is>
          <t>2001-03-21</t>
        </is>
      </c>
      <c r="W170" t="inlineStr">
        <is>
          <t>1993-03-08</t>
        </is>
      </c>
      <c r="X170" t="inlineStr">
        <is>
          <t>1993-03-08</t>
        </is>
      </c>
      <c r="Y170" t="n">
        <v>248</v>
      </c>
      <c r="Z170" t="n">
        <v>192</v>
      </c>
      <c r="AA170" t="n">
        <v>194</v>
      </c>
      <c r="AB170" t="n">
        <v>1</v>
      </c>
      <c r="AC170" t="n">
        <v>1</v>
      </c>
      <c r="AD170" t="n">
        <v>7</v>
      </c>
      <c r="AE170" t="n">
        <v>7</v>
      </c>
      <c r="AF170" t="n">
        <v>2</v>
      </c>
      <c r="AG170" t="n">
        <v>2</v>
      </c>
      <c r="AH170" t="n">
        <v>4</v>
      </c>
      <c r="AI170" t="n">
        <v>4</v>
      </c>
      <c r="AJ170" t="n">
        <v>4</v>
      </c>
      <c r="AK170" t="n">
        <v>4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HYPERLINK("https://creighton-primo.hosted.exlibrisgroup.com/primo-explore/search?tab=default_tab&amp;search_scope=EVERYTHING&amp;vid=01CRU&amp;lang=en_US&amp;offset=0&amp;query=any,contains,991001795409702656","Catalog Record")</f>
        <v/>
      </c>
      <c r="AT170">
        <f>HYPERLINK("http://www.worldcat.org/oclc/7998547","WorldCat Record")</f>
        <v/>
      </c>
    </row>
    <row r="171">
      <c r="A171" t="inlineStr">
        <is>
          <t>No</t>
        </is>
      </c>
      <c r="B171" t="inlineStr">
        <is>
          <t>R724 .S396 1987</t>
        </is>
      </c>
      <c r="C171" t="inlineStr">
        <is>
          <t>0                      R  0724000S  396         1987</t>
        </is>
      </c>
      <c r="D171" t="inlineStr">
        <is>
          <t>Playing God : the new world of medical choices / Thomas Scully and Celia Scully.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Scully, Thomas J., 1932-</t>
        </is>
      </c>
      <c r="L171" t="inlineStr">
        <is>
          <t>New York : Simon and Schuster, c1987.</t>
        </is>
      </c>
      <c r="M171" t="inlineStr">
        <is>
          <t>1987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R  </t>
        </is>
      </c>
      <c r="S171" t="n">
        <v>22</v>
      </c>
      <c r="T171" t="n">
        <v>22</v>
      </c>
      <c r="U171" t="inlineStr">
        <is>
          <t>2002-04-11</t>
        </is>
      </c>
      <c r="V171" t="inlineStr">
        <is>
          <t>2002-04-11</t>
        </is>
      </c>
      <c r="W171" t="inlineStr">
        <is>
          <t>1991-12-06</t>
        </is>
      </c>
      <c r="X171" t="inlineStr">
        <is>
          <t>1991-12-06</t>
        </is>
      </c>
      <c r="Y171" t="n">
        <v>739</v>
      </c>
      <c r="Z171" t="n">
        <v>703</v>
      </c>
      <c r="AA171" t="n">
        <v>705</v>
      </c>
      <c r="AB171" t="n">
        <v>2</v>
      </c>
      <c r="AC171" t="n">
        <v>2</v>
      </c>
      <c r="AD171" t="n">
        <v>24</v>
      </c>
      <c r="AE171" t="n">
        <v>24</v>
      </c>
      <c r="AF171" t="n">
        <v>7</v>
      </c>
      <c r="AG171" t="n">
        <v>7</v>
      </c>
      <c r="AH171" t="n">
        <v>7</v>
      </c>
      <c r="AI171" t="n">
        <v>7</v>
      </c>
      <c r="AJ171" t="n">
        <v>15</v>
      </c>
      <c r="AK171" t="n">
        <v>15</v>
      </c>
      <c r="AL171" t="n">
        <v>1</v>
      </c>
      <c r="AM171" t="n">
        <v>1</v>
      </c>
      <c r="AN171" t="n">
        <v>1</v>
      </c>
      <c r="AO171" t="n">
        <v>1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HYPERLINK("http://catalog.hathitrust.org/Record/000912602","HathiTrust Record")</f>
        <v/>
      </c>
      <c r="AS171">
        <f>HYPERLINK("https://creighton-primo.hosted.exlibrisgroup.com/primo-explore/search?tab=default_tab&amp;search_scope=EVERYTHING&amp;vid=01CRU&amp;lang=en_US&amp;offset=0&amp;query=any,contains,991001107459702656","Catalog Record")</f>
        <v/>
      </c>
      <c r="AT171">
        <f>HYPERLINK("http://www.worldcat.org/oclc/16406163","WorldCat Record")</f>
        <v/>
      </c>
    </row>
    <row r="172">
      <c r="A172" t="inlineStr">
        <is>
          <t>No</t>
        </is>
      </c>
      <c r="B172" t="inlineStr">
        <is>
          <t>R724 .S455 1997</t>
        </is>
      </c>
      <c r="C172" t="inlineStr">
        <is>
          <t>0                      R  0724000S  455         1997</t>
        </is>
      </c>
      <c r="D172" t="inlineStr">
        <is>
          <t>An introduction to bioethics / Thomas A. Shannon.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Shannon, Thomas A. (Thomas Anthony), 1940-</t>
        </is>
      </c>
      <c r="L172" t="inlineStr">
        <is>
          <t>New York : Paulist Press, 1997.</t>
        </is>
      </c>
      <c r="M172" t="inlineStr">
        <is>
          <t>1997</t>
        </is>
      </c>
      <c r="N172" t="inlineStr">
        <is>
          <t>3rd ed., rev. and updated.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R  </t>
        </is>
      </c>
      <c r="S172" t="n">
        <v>28</v>
      </c>
      <c r="T172" t="n">
        <v>28</v>
      </c>
      <c r="U172" t="inlineStr">
        <is>
          <t>2003-11-13</t>
        </is>
      </c>
      <c r="V172" t="inlineStr">
        <is>
          <t>2003-11-13</t>
        </is>
      </c>
      <c r="W172" t="inlineStr">
        <is>
          <t>1997-04-28</t>
        </is>
      </c>
      <c r="X172" t="inlineStr">
        <is>
          <t>1997-04-28</t>
        </is>
      </c>
      <c r="Y172" t="n">
        <v>317</v>
      </c>
      <c r="Z172" t="n">
        <v>265</v>
      </c>
      <c r="AA172" t="n">
        <v>658</v>
      </c>
      <c r="AB172" t="n">
        <v>2</v>
      </c>
      <c r="AC172" t="n">
        <v>5</v>
      </c>
      <c r="AD172" t="n">
        <v>22</v>
      </c>
      <c r="AE172" t="n">
        <v>44</v>
      </c>
      <c r="AF172" t="n">
        <v>9</v>
      </c>
      <c r="AG172" t="n">
        <v>18</v>
      </c>
      <c r="AH172" t="n">
        <v>5</v>
      </c>
      <c r="AI172" t="n">
        <v>8</v>
      </c>
      <c r="AJ172" t="n">
        <v>13</v>
      </c>
      <c r="AK172" t="n">
        <v>24</v>
      </c>
      <c r="AL172" t="n">
        <v>1</v>
      </c>
      <c r="AM172" t="n">
        <v>3</v>
      </c>
      <c r="AN172" t="n">
        <v>0</v>
      </c>
      <c r="AO172" t="n">
        <v>2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HYPERLINK("https://creighton-primo.hosted.exlibrisgroup.com/primo-explore/search?tab=default_tab&amp;search_scope=EVERYTHING&amp;vid=01CRU&amp;lang=en_US&amp;offset=0&amp;query=any,contains,991002737379702656","Catalog Record")</f>
        <v/>
      </c>
      <c r="AT172">
        <f>HYPERLINK("http://www.worldcat.org/oclc/35927998","WorldCat Record")</f>
        <v/>
      </c>
    </row>
    <row r="173">
      <c r="A173" t="inlineStr">
        <is>
          <t>No</t>
        </is>
      </c>
      <c r="B173" t="inlineStr">
        <is>
          <t>R724 .S599 1998</t>
        </is>
      </c>
      <c r="C173" t="inlineStr">
        <is>
          <t>0                      R  0724000S  599         1998</t>
        </is>
      </c>
      <c r="D173" t="inlineStr">
        <is>
          <t>Source book in bioethics : [a documentary history] / edited by Albert R. Jonsen, Robert M. Veatch, LeRoy Walters.</t>
        </is>
      </c>
      <c r="F173" t="inlineStr">
        <is>
          <t>No</t>
        </is>
      </c>
      <c r="G173" t="inlineStr">
        <is>
          <t>1</t>
        </is>
      </c>
      <c r="H173" t="inlineStr">
        <is>
          <t>Yes</t>
        </is>
      </c>
      <c r="I173" t="inlineStr">
        <is>
          <t>No</t>
        </is>
      </c>
      <c r="J173" t="inlineStr">
        <is>
          <t>0</t>
        </is>
      </c>
      <c r="L173" t="inlineStr">
        <is>
          <t>Washington, D.C. : Georgetown University Press, c1998.</t>
        </is>
      </c>
      <c r="M173" t="inlineStr">
        <is>
          <t>1998</t>
        </is>
      </c>
      <c r="O173" t="inlineStr">
        <is>
          <t>eng</t>
        </is>
      </c>
      <c r="P173" t="inlineStr">
        <is>
          <t>dcu</t>
        </is>
      </c>
      <c r="R173" t="inlineStr">
        <is>
          <t xml:space="preserve">R  </t>
        </is>
      </c>
      <c r="S173" t="n">
        <v>0</v>
      </c>
      <c r="T173" t="n">
        <v>21</v>
      </c>
      <c r="V173" t="inlineStr">
        <is>
          <t>2008-07-16</t>
        </is>
      </c>
      <c r="W173" t="inlineStr">
        <is>
          <t>1999-05-20</t>
        </is>
      </c>
      <c r="X173" t="inlineStr">
        <is>
          <t>2007-02-08</t>
        </is>
      </c>
      <c r="Y173" t="n">
        <v>778</v>
      </c>
      <c r="Z173" t="n">
        <v>694</v>
      </c>
      <c r="AA173" t="n">
        <v>717</v>
      </c>
      <c r="AB173" t="n">
        <v>3</v>
      </c>
      <c r="AC173" t="n">
        <v>3</v>
      </c>
      <c r="AD173" t="n">
        <v>40</v>
      </c>
      <c r="AE173" t="n">
        <v>40</v>
      </c>
      <c r="AF173" t="n">
        <v>12</v>
      </c>
      <c r="AG173" t="n">
        <v>12</v>
      </c>
      <c r="AH173" t="n">
        <v>8</v>
      </c>
      <c r="AI173" t="n">
        <v>8</v>
      </c>
      <c r="AJ173" t="n">
        <v>15</v>
      </c>
      <c r="AK173" t="n">
        <v>15</v>
      </c>
      <c r="AL173" t="n">
        <v>1</v>
      </c>
      <c r="AM173" t="n">
        <v>1</v>
      </c>
      <c r="AN173" t="n">
        <v>11</v>
      </c>
      <c r="AO173" t="n">
        <v>11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HYPERLINK("http://catalog.hathitrust.org/Record/004018307","HathiTrust Record")</f>
        <v/>
      </c>
      <c r="AS173">
        <f>HYPERLINK("https://creighton-primo.hosted.exlibrisgroup.com/primo-explore/search?tab=default_tab&amp;search_scope=EVERYTHING&amp;vid=01CRU&amp;lang=en_US&amp;offset=0&amp;query=any,contains,991001693119702656","Catalog Record")</f>
        <v/>
      </c>
      <c r="AT173">
        <f>HYPERLINK("http://www.worldcat.org/oclc/37695741","WorldCat Record")</f>
        <v/>
      </c>
    </row>
    <row r="174">
      <c r="A174" t="inlineStr">
        <is>
          <t>No</t>
        </is>
      </c>
      <c r="B174" t="inlineStr">
        <is>
          <t>R724 .S92 1998</t>
        </is>
      </c>
      <c r="C174" t="inlineStr">
        <is>
          <t>0                      R  0724000S  92          1998</t>
        </is>
      </c>
      <c r="D174" t="inlineStr">
        <is>
          <t>A new paradigm for informed consent / Irene S. Switankowsky.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Switankowsky, Irene S.</t>
        </is>
      </c>
      <c r="L174" t="inlineStr">
        <is>
          <t>Lanham, Md. : University Press of America, c1998.</t>
        </is>
      </c>
      <c r="M174" t="inlineStr">
        <is>
          <t>1998</t>
        </is>
      </c>
      <c r="O174" t="inlineStr">
        <is>
          <t>eng</t>
        </is>
      </c>
      <c r="P174" t="inlineStr">
        <is>
          <t>mdu</t>
        </is>
      </c>
      <c r="R174" t="inlineStr">
        <is>
          <t xml:space="preserve">R  </t>
        </is>
      </c>
      <c r="S174" t="n">
        <v>21</v>
      </c>
      <c r="T174" t="n">
        <v>21</v>
      </c>
      <c r="U174" t="inlineStr">
        <is>
          <t>2010-11-17</t>
        </is>
      </c>
      <c r="V174" t="inlineStr">
        <is>
          <t>2010-11-17</t>
        </is>
      </c>
      <c r="W174" t="inlineStr">
        <is>
          <t>1999-12-15</t>
        </is>
      </c>
      <c r="X174" t="inlineStr">
        <is>
          <t>1999-12-15</t>
        </is>
      </c>
      <c r="Y174" t="n">
        <v>151</v>
      </c>
      <c r="Z174" t="n">
        <v>132</v>
      </c>
      <c r="AA174" t="n">
        <v>132</v>
      </c>
      <c r="AB174" t="n">
        <v>1</v>
      </c>
      <c r="AC174" t="n">
        <v>1</v>
      </c>
      <c r="AD174" t="n">
        <v>11</v>
      </c>
      <c r="AE174" t="n">
        <v>11</v>
      </c>
      <c r="AF174" t="n">
        <v>1</v>
      </c>
      <c r="AG174" t="n">
        <v>1</v>
      </c>
      <c r="AH174" t="n">
        <v>2</v>
      </c>
      <c r="AI174" t="n">
        <v>2</v>
      </c>
      <c r="AJ174" t="n">
        <v>6</v>
      </c>
      <c r="AK174" t="n">
        <v>6</v>
      </c>
      <c r="AL174" t="n">
        <v>0</v>
      </c>
      <c r="AM174" t="n">
        <v>0</v>
      </c>
      <c r="AN174" t="n">
        <v>4</v>
      </c>
      <c r="AO174" t="n">
        <v>4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HYPERLINK("https://creighton-primo.hosted.exlibrisgroup.com/primo-explore/search?tab=default_tab&amp;search_scope=EVERYTHING&amp;vid=01CRU&amp;lang=en_US&amp;offset=0&amp;query=any,contains,991002884799702656","Catalog Record")</f>
        <v/>
      </c>
      <c r="AT174">
        <f>HYPERLINK("http://www.worldcat.org/oclc/38014436","WorldCat Record")</f>
        <v/>
      </c>
    </row>
    <row r="175">
      <c r="A175" t="inlineStr">
        <is>
          <t>No</t>
        </is>
      </c>
      <c r="B175" t="inlineStr">
        <is>
          <t>R724 .T55 1991</t>
        </is>
      </c>
      <c r="C175" t="inlineStr">
        <is>
          <t>0                      R  0724000T  55          1991</t>
        </is>
      </c>
      <c r="D175" t="inlineStr">
        <is>
          <t>A Time to be born and a time to die : the ethics of choice / Barry S. Kogan, editor.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Hawthorne, N.Y. : Aldine De Gruyter, c1991.</t>
        </is>
      </c>
      <c r="M175" t="inlineStr">
        <is>
          <t>1991</t>
        </is>
      </c>
      <c r="O175" t="inlineStr">
        <is>
          <t>eng</t>
        </is>
      </c>
      <c r="P175" t="inlineStr">
        <is>
          <t>nyu</t>
        </is>
      </c>
      <c r="Q175" t="inlineStr">
        <is>
          <t>Starkoff Institute studies in ethics and contemporary moral problems</t>
        </is>
      </c>
      <c r="R175" t="inlineStr">
        <is>
          <t xml:space="preserve">R  </t>
        </is>
      </c>
      <c r="S175" t="n">
        <v>54</v>
      </c>
      <c r="T175" t="n">
        <v>54</v>
      </c>
      <c r="U175" t="inlineStr">
        <is>
          <t>2003-11-24</t>
        </is>
      </c>
      <c r="V175" t="inlineStr">
        <is>
          <t>2003-11-24</t>
        </is>
      </c>
      <c r="W175" t="inlineStr">
        <is>
          <t>1991-12-13</t>
        </is>
      </c>
      <c r="X175" t="inlineStr">
        <is>
          <t>1991-12-13</t>
        </is>
      </c>
      <c r="Y175" t="n">
        <v>672</v>
      </c>
      <c r="Z175" t="n">
        <v>570</v>
      </c>
      <c r="AA175" t="n">
        <v>570</v>
      </c>
      <c r="AB175" t="n">
        <v>4</v>
      </c>
      <c r="AC175" t="n">
        <v>4</v>
      </c>
      <c r="AD175" t="n">
        <v>28</v>
      </c>
      <c r="AE175" t="n">
        <v>28</v>
      </c>
      <c r="AF175" t="n">
        <v>12</v>
      </c>
      <c r="AG175" t="n">
        <v>12</v>
      </c>
      <c r="AH175" t="n">
        <v>5</v>
      </c>
      <c r="AI175" t="n">
        <v>5</v>
      </c>
      <c r="AJ175" t="n">
        <v>14</v>
      </c>
      <c r="AK175" t="n">
        <v>14</v>
      </c>
      <c r="AL175" t="n">
        <v>3</v>
      </c>
      <c r="AM175" t="n">
        <v>3</v>
      </c>
      <c r="AN175" t="n">
        <v>1</v>
      </c>
      <c r="AO175" t="n">
        <v>1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HYPERLINK("https://creighton-primo.hosted.exlibrisgroup.com/primo-explore/search?tab=default_tab&amp;search_scope=EVERYTHING&amp;vid=01CRU&amp;lang=en_US&amp;offset=0&amp;query=any,contains,991001832759702656","Catalog Record")</f>
        <v/>
      </c>
      <c r="AT175">
        <f>HYPERLINK("http://www.worldcat.org/oclc/23017298","WorldCat Record")</f>
        <v/>
      </c>
    </row>
    <row r="176">
      <c r="A176" t="inlineStr">
        <is>
          <t>No</t>
        </is>
      </c>
      <c r="B176" t="inlineStr">
        <is>
          <t>R724 .T6</t>
        </is>
      </c>
      <c r="C176" t="inlineStr">
        <is>
          <t>0                      R  0724000T  6</t>
        </is>
      </c>
      <c r="D176" t="inlineStr">
        <is>
          <t>Ethical issues in medicine : the role of the physician in today's society / contributing authors: Robin F. Badgley [and others] E. Fuller Torrey, editor.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Torrey, E. Fuller (Edwin Fuller), 1937-</t>
        </is>
      </c>
      <c r="L176" t="inlineStr">
        <is>
          <t>Boston : Little, Brown, [1968]</t>
        </is>
      </c>
      <c r="M176" t="inlineStr">
        <is>
          <t>1968</t>
        </is>
      </c>
      <c r="N176" t="inlineStr">
        <is>
          <t>[1st ed.]</t>
        </is>
      </c>
      <c r="O176" t="inlineStr">
        <is>
          <t>eng</t>
        </is>
      </c>
      <c r="P176" t="inlineStr">
        <is>
          <t>mau</t>
        </is>
      </c>
      <c r="R176" t="inlineStr">
        <is>
          <t xml:space="preserve">R  </t>
        </is>
      </c>
      <c r="S176" t="n">
        <v>6</v>
      </c>
      <c r="T176" t="n">
        <v>6</v>
      </c>
      <c r="U176" t="inlineStr">
        <is>
          <t>2004-11-16</t>
        </is>
      </c>
      <c r="V176" t="inlineStr">
        <is>
          <t>2004-11-16</t>
        </is>
      </c>
      <c r="W176" t="inlineStr">
        <is>
          <t>1992-04-11</t>
        </is>
      </c>
      <c r="X176" t="inlineStr">
        <is>
          <t>1992-04-11</t>
        </is>
      </c>
      <c r="Y176" t="n">
        <v>275</v>
      </c>
      <c r="Z176" t="n">
        <v>234</v>
      </c>
      <c r="AA176" t="n">
        <v>236</v>
      </c>
      <c r="AB176" t="n">
        <v>2</v>
      </c>
      <c r="AC176" t="n">
        <v>2</v>
      </c>
      <c r="AD176" t="n">
        <v>11</v>
      </c>
      <c r="AE176" t="n">
        <v>11</v>
      </c>
      <c r="AF176" t="n">
        <v>2</v>
      </c>
      <c r="AG176" t="n">
        <v>2</v>
      </c>
      <c r="AH176" t="n">
        <v>3</v>
      </c>
      <c r="AI176" t="n">
        <v>3</v>
      </c>
      <c r="AJ176" t="n">
        <v>8</v>
      </c>
      <c r="AK176" t="n">
        <v>8</v>
      </c>
      <c r="AL176" t="n">
        <v>1</v>
      </c>
      <c r="AM176" t="n">
        <v>1</v>
      </c>
      <c r="AN176" t="n">
        <v>1</v>
      </c>
      <c r="AO176" t="n">
        <v>1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HYPERLINK("http://catalog.hathitrust.org/Record/000002723","HathiTrust Record")</f>
        <v/>
      </c>
      <c r="AS176">
        <f>HYPERLINK("https://creighton-primo.hosted.exlibrisgroup.com/primo-explore/search?tab=default_tab&amp;search_scope=EVERYTHING&amp;vid=01CRU&amp;lang=en_US&amp;offset=0&amp;query=any,contains,991001137589702656","Catalog Record")</f>
        <v/>
      </c>
      <c r="AT176">
        <f>HYPERLINK("http://www.worldcat.org/oclc/185196","WorldCat Record")</f>
        <v/>
      </c>
    </row>
    <row r="177">
      <c r="A177" t="inlineStr">
        <is>
          <t>No</t>
        </is>
      </c>
      <c r="B177" t="inlineStr">
        <is>
          <t>R724 .V42</t>
        </is>
      </c>
      <c r="C177" t="inlineStr">
        <is>
          <t>0                      R  0724000V  42</t>
        </is>
      </c>
      <c r="D177" t="inlineStr">
        <is>
          <t>A theory of medical ethics / Robert M. Veatch.</t>
        </is>
      </c>
      <c r="F177" t="inlineStr">
        <is>
          <t>No</t>
        </is>
      </c>
      <c r="G177" t="inlineStr">
        <is>
          <t>1</t>
        </is>
      </c>
      <c r="H177" t="inlineStr">
        <is>
          <t>Yes</t>
        </is>
      </c>
      <c r="I177" t="inlineStr">
        <is>
          <t>No</t>
        </is>
      </c>
      <c r="J177" t="inlineStr">
        <is>
          <t>0</t>
        </is>
      </c>
      <c r="K177" t="inlineStr">
        <is>
          <t>Veatch, Robert M.</t>
        </is>
      </c>
      <c r="L177" t="inlineStr">
        <is>
          <t>New York : Basic Books, c1981.</t>
        </is>
      </c>
      <c r="M177" t="inlineStr">
        <is>
          <t>1981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R  </t>
        </is>
      </c>
      <c r="S177" t="n">
        <v>9</v>
      </c>
      <c r="T177" t="n">
        <v>45</v>
      </c>
      <c r="U177" t="inlineStr">
        <is>
          <t>2004-11-16</t>
        </is>
      </c>
      <c r="V177" t="inlineStr">
        <is>
          <t>2004-11-16</t>
        </is>
      </c>
      <c r="W177" t="inlineStr">
        <is>
          <t>1990-07-20</t>
        </is>
      </c>
      <c r="X177" t="inlineStr">
        <is>
          <t>1990-07-20</t>
        </is>
      </c>
      <c r="Y177" t="n">
        <v>861</v>
      </c>
      <c r="Z177" t="n">
        <v>742</v>
      </c>
      <c r="AA177" t="n">
        <v>748</v>
      </c>
      <c r="AB177" t="n">
        <v>4</v>
      </c>
      <c r="AC177" t="n">
        <v>4</v>
      </c>
      <c r="AD177" t="n">
        <v>40</v>
      </c>
      <c r="AE177" t="n">
        <v>40</v>
      </c>
      <c r="AF177" t="n">
        <v>15</v>
      </c>
      <c r="AG177" t="n">
        <v>15</v>
      </c>
      <c r="AH177" t="n">
        <v>6</v>
      </c>
      <c r="AI177" t="n">
        <v>6</v>
      </c>
      <c r="AJ177" t="n">
        <v>20</v>
      </c>
      <c r="AK177" t="n">
        <v>20</v>
      </c>
      <c r="AL177" t="n">
        <v>2</v>
      </c>
      <c r="AM177" t="n">
        <v>2</v>
      </c>
      <c r="AN177" t="n">
        <v>7</v>
      </c>
      <c r="AO177" t="n">
        <v>7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HYPERLINK("http://catalog.hathitrust.org/Record/000104024","HathiTrust Record")</f>
        <v/>
      </c>
      <c r="AS177">
        <f>HYPERLINK("https://creighton-primo.hosted.exlibrisgroup.com/primo-explore/search?tab=default_tab&amp;search_scope=EVERYTHING&amp;vid=01CRU&amp;lang=en_US&amp;offset=0&amp;query=any,contains,991001801379702656","Catalog Record")</f>
        <v/>
      </c>
      <c r="AT177">
        <f>HYPERLINK("http://www.worldcat.org/oclc/7739374","WorldCat Record")</f>
        <v/>
      </c>
    </row>
    <row r="178">
      <c r="A178" t="inlineStr">
        <is>
          <t>No</t>
        </is>
      </c>
      <c r="B178" t="inlineStr">
        <is>
          <t>R724 .V48 1985</t>
        </is>
      </c>
      <c r="C178" t="inlineStr">
        <is>
          <t>0                      R  0724000V  48          1985</t>
        </is>
      </c>
      <c r="D178" t="inlineStr">
        <is>
          <t>Virtue and medicine : explorations in the character of medicine / edited by Earl E. Shelp.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L178" t="inlineStr">
        <is>
          <t>Dordrecht ; Boston : D. Reidel Pub. Co. : Hingham, MA : Sold and distributed in the U.S.A. and Canada by Kluwer Academic Publishers, c1985.</t>
        </is>
      </c>
      <c r="M178" t="inlineStr">
        <is>
          <t>1985</t>
        </is>
      </c>
      <c r="O178" t="inlineStr">
        <is>
          <t>eng</t>
        </is>
      </c>
      <c r="P178" t="inlineStr">
        <is>
          <t xml:space="preserve">ne </t>
        </is>
      </c>
      <c r="Q178" t="inlineStr">
        <is>
          <t>Philosophy and medicine ; v. 17</t>
        </is>
      </c>
      <c r="R178" t="inlineStr">
        <is>
          <t xml:space="preserve">R  </t>
        </is>
      </c>
      <c r="S178" t="n">
        <v>2</v>
      </c>
      <c r="T178" t="n">
        <v>2</v>
      </c>
      <c r="U178" t="inlineStr">
        <is>
          <t>1996-06-20</t>
        </is>
      </c>
      <c r="V178" t="inlineStr">
        <is>
          <t>1996-06-20</t>
        </is>
      </c>
      <c r="W178" t="inlineStr">
        <is>
          <t>1992-05-14</t>
        </is>
      </c>
      <c r="X178" t="inlineStr">
        <is>
          <t>1992-05-14</t>
        </is>
      </c>
      <c r="Y178" t="n">
        <v>314</v>
      </c>
      <c r="Z178" t="n">
        <v>251</v>
      </c>
      <c r="AA178" t="n">
        <v>268</v>
      </c>
      <c r="AB178" t="n">
        <v>1</v>
      </c>
      <c r="AC178" t="n">
        <v>1</v>
      </c>
      <c r="AD178" t="n">
        <v>21</v>
      </c>
      <c r="AE178" t="n">
        <v>22</v>
      </c>
      <c r="AF178" t="n">
        <v>7</v>
      </c>
      <c r="AG178" t="n">
        <v>8</v>
      </c>
      <c r="AH178" t="n">
        <v>6</v>
      </c>
      <c r="AI178" t="n">
        <v>6</v>
      </c>
      <c r="AJ178" t="n">
        <v>17</v>
      </c>
      <c r="AK178" t="n">
        <v>18</v>
      </c>
      <c r="AL178" t="n">
        <v>0</v>
      </c>
      <c r="AM178" t="n">
        <v>0</v>
      </c>
      <c r="AN178" t="n">
        <v>1</v>
      </c>
      <c r="AO178" t="n">
        <v>1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HYPERLINK("https://creighton-primo.hosted.exlibrisgroup.com/primo-explore/search?tab=default_tab&amp;search_scope=EVERYTHING&amp;vid=01CRU&amp;lang=en_US&amp;offset=0&amp;query=any,contains,991000571689702656","Catalog Record")</f>
        <v/>
      </c>
      <c r="AT178">
        <f>HYPERLINK("http://www.worldcat.org/oclc/11650648","WorldCat Record")</f>
        <v/>
      </c>
    </row>
    <row r="179">
      <c r="A179" t="inlineStr">
        <is>
          <t>No</t>
        </is>
      </c>
      <c r="B179" t="inlineStr">
        <is>
          <t>R724 .W365 1998</t>
        </is>
      </c>
      <c r="C179" t="inlineStr">
        <is>
          <t>0                      R  0724000W  365         1998</t>
        </is>
      </c>
      <c r="D179" t="inlineStr">
        <is>
          <t>In the face of suffering : the philosophical-anthropological foundations of clinical ethics / Jos V.M. Welie.</t>
        </is>
      </c>
      <c r="F179" t="inlineStr">
        <is>
          <t>No</t>
        </is>
      </c>
      <c r="G179" t="inlineStr">
        <is>
          <t>1</t>
        </is>
      </c>
      <c r="H179" t="inlineStr">
        <is>
          <t>Yes</t>
        </is>
      </c>
      <c r="I179" t="inlineStr">
        <is>
          <t>No</t>
        </is>
      </c>
      <c r="J179" t="inlineStr">
        <is>
          <t>0</t>
        </is>
      </c>
      <c r="K179" t="inlineStr">
        <is>
          <t>Welie, Jos V. M.</t>
        </is>
      </c>
      <c r="L179" t="inlineStr">
        <is>
          <t>Omaha, Neb. : Creighton University Press : Association of Jesuit University Presses, c1998.</t>
        </is>
      </c>
      <c r="M179" t="inlineStr">
        <is>
          <t>1998</t>
        </is>
      </c>
      <c r="O179" t="inlineStr">
        <is>
          <t>eng</t>
        </is>
      </c>
      <c r="P179" t="inlineStr">
        <is>
          <t>nbu</t>
        </is>
      </c>
      <c r="Q179" t="inlineStr">
        <is>
          <t>The philosophical-anthropological foundations of clinical ethics</t>
        </is>
      </c>
      <c r="R179" t="inlineStr">
        <is>
          <t xml:space="preserve">R  </t>
        </is>
      </c>
      <c r="S179" t="n">
        <v>9</v>
      </c>
      <c r="T179" t="n">
        <v>28</v>
      </c>
      <c r="U179" t="inlineStr">
        <is>
          <t>2008-11-20</t>
        </is>
      </c>
      <c r="V179" t="inlineStr">
        <is>
          <t>2010-03-20</t>
        </is>
      </c>
      <c r="W179" t="inlineStr">
        <is>
          <t>1999-08-18</t>
        </is>
      </c>
      <c r="X179" t="inlineStr">
        <is>
          <t>1999-08-18</t>
        </is>
      </c>
      <c r="Y179" t="n">
        <v>160</v>
      </c>
      <c r="Z179" t="n">
        <v>139</v>
      </c>
      <c r="AA179" t="n">
        <v>1038</v>
      </c>
      <c r="AB179" t="n">
        <v>2</v>
      </c>
      <c r="AC179" t="n">
        <v>5</v>
      </c>
      <c r="AD179" t="n">
        <v>10</v>
      </c>
      <c r="AE179" t="n">
        <v>30</v>
      </c>
      <c r="AF179" t="n">
        <v>0</v>
      </c>
      <c r="AG179" t="n">
        <v>12</v>
      </c>
      <c r="AH179" t="n">
        <v>5</v>
      </c>
      <c r="AI179" t="n">
        <v>8</v>
      </c>
      <c r="AJ179" t="n">
        <v>7</v>
      </c>
      <c r="AK179" t="n">
        <v>14</v>
      </c>
      <c r="AL179" t="n">
        <v>0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HYPERLINK("http://catalog.hathitrust.org/Record/004097919","HathiTrust Record")</f>
        <v/>
      </c>
      <c r="AS179">
        <f>HYPERLINK("https://creighton-primo.hosted.exlibrisgroup.com/primo-explore/search?tab=default_tab&amp;search_scope=EVERYTHING&amp;vid=01CRU&amp;lang=en_US&amp;offset=0&amp;query=any,contains,991001761399702656","Catalog Record")</f>
        <v/>
      </c>
      <c r="AT179">
        <f>HYPERLINK("http://www.worldcat.org/oclc/41508760","WorldCat Record")</f>
        <v/>
      </c>
    </row>
    <row r="180">
      <c r="A180" t="inlineStr">
        <is>
          <t>No</t>
        </is>
      </c>
      <c r="B180" t="inlineStr">
        <is>
          <t>R724 .W64</t>
        </is>
      </c>
      <c r="C180" t="inlineStr">
        <is>
          <t>0                      R  0724000W  64</t>
        </is>
      </c>
      <c r="D180" t="inlineStr">
        <is>
          <t>Muted consent : a casebook in modern medical ethics / by Jan Wojcik. --</t>
        </is>
      </c>
      <c r="F180" t="inlineStr">
        <is>
          <t>No</t>
        </is>
      </c>
      <c r="G180" t="inlineStr">
        <is>
          <t>1</t>
        </is>
      </c>
      <c r="H180" t="inlineStr">
        <is>
          <t>Yes</t>
        </is>
      </c>
      <c r="I180" t="inlineStr">
        <is>
          <t>No</t>
        </is>
      </c>
      <c r="J180" t="inlineStr">
        <is>
          <t>0</t>
        </is>
      </c>
      <c r="K180" t="inlineStr">
        <is>
          <t>Wójcik, Jan.</t>
        </is>
      </c>
      <c r="L180" t="inlineStr">
        <is>
          <t>West Lafayette, Ind. : Purdue University, 1978.</t>
        </is>
      </c>
      <c r="M180" t="inlineStr">
        <is>
          <t>1978</t>
        </is>
      </c>
      <c r="O180" t="inlineStr">
        <is>
          <t>eng</t>
        </is>
      </c>
      <c r="P180" t="inlineStr">
        <is>
          <t>inu</t>
        </is>
      </c>
      <c r="Q180" t="inlineStr">
        <is>
          <t>Science and society ; v. 1</t>
        </is>
      </c>
      <c r="R180" t="inlineStr">
        <is>
          <t xml:space="preserve">R  </t>
        </is>
      </c>
      <c r="S180" t="n">
        <v>11</v>
      </c>
      <c r="T180" t="n">
        <v>15</v>
      </c>
      <c r="U180" t="inlineStr">
        <is>
          <t>2008-02-16</t>
        </is>
      </c>
      <c r="V180" t="inlineStr">
        <is>
          <t>2008-02-16</t>
        </is>
      </c>
      <c r="W180" t="inlineStr">
        <is>
          <t>1992-04-27</t>
        </is>
      </c>
      <c r="X180" t="inlineStr">
        <is>
          <t>1992-04-27</t>
        </is>
      </c>
      <c r="Y180" t="n">
        <v>439</v>
      </c>
      <c r="Z180" t="n">
        <v>405</v>
      </c>
      <c r="AA180" t="n">
        <v>408</v>
      </c>
      <c r="AB180" t="n">
        <v>2</v>
      </c>
      <c r="AC180" t="n">
        <v>2</v>
      </c>
      <c r="AD180" t="n">
        <v>25</v>
      </c>
      <c r="AE180" t="n">
        <v>25</v>
      </c>
      <c r="AF180" t="n">
        <v>9</v>
      </c>
      <c r="AG180" t="n">
        <v>9</v>
      </c>
      <c r="AH180" t="n">
        <v>4</v>
      </c>
      <c r="AI180" t="n">
        <v>4</v>
      </c>
      <c r="AJ180" t="n">
        <v>12</v>
      </c>
      <c r="AK180" t="n">
        <v>12</v>
      </c>
      <c r="AL180" t="n">
        <v>0</v>
      </c>
      <c r="AM180" t="n">
        <v>0</v>
      </c>
      <c r="AN180" t="n">
        <v>6</v>
      </c>
      <c r="AO180" t="n">
        <v>6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HYPERLINK("http://catalog.hathitrust.org/Record/000136964","HathiTrust Record")</f>
        <v/>
      </c>
      <c r="AS180">
        <f>HYPERLINK("https://creighton-primo.hosted.exlibrisgroup.com/primo-explore/search?tab=default_tab&amp;search_scope=EVERYTHING&amp;vid=01CRU&amp;lang=en_US&amp;offset=0&amp;query=any,contains,991001805779702656","Catalog Record")</f>
        <v/>
      </c>
      <c r="AT180">
        <f>HYPERLINK("http://www.worldcat.org/oclc/3884524","WorldCat Record")</f>
        <v/>
      </c>
    </row>
    <row r="181">
      <c r="A181" t="inlineStr">
        <is>
          <t>No</t>
        </is>
      </c>
      <c r="B181" t="inlineStr">
        <is>
          <t>R724 .Y48</t>
        </is>
      </c>
      <c r="C181" t="inlineStr">
        <is>
          <t>0                      R  0724000Y  48</t>
        </is>
      </c>
      <c r="D181" t="inlineStr">
        <is>
          <t>Medical ethics : thinking about unavoidable questions / Ronald Yezzi.</t>
        </is>
      </c>
      <c r="F181" t="inlineStr">
        <is>
          <t>No</t>
        </is>
      </c>
      <c r="G181" t="inlineStr">
        <is>
          <t>1</t>
        </is>
      </c>
      <c r="H181" t="inlineStr">
        <is>
          <t>Yes</t>
        </is>
      </c>
      <c r="I181" t="inlineStr">
        <is>
          <t>No</t>
        </is>
      </c>
      <c r="J181" t="inlineStr">
        <is>
          <t>0</t>
        </is>
      </c>
      <c r="K181" t="inlineStr">
        <is>
          <t>Yezzi, Ronald.</t>
        </is>
      </c>
      <c r="L181" t="inlineStr">
        <is>
          <t>New York : Holt, Rinehart, and Winston, c1980.</t>
        </is>
      </c>
      <c r="M181" t="inlineStr">
        <is>
          <t>1980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R  </t>
        </is>
      </c>
      <c r="S181" t="n">
        <v>14</v>
      </c>
      <c r="T181" t="n">
        <v>14</v>
      </c>
      <c r="U181" t="inlineStr">
        <is>
          <t>2004-11-29</t>
        </is>
      </c>
      <c r="V181" t="inlineStr">
        <is>
          <t>2004-11-29</t>
        </is>
      </c>
      <c r="W181" t="inlineStr">
        <is>
          <t>1992-03-27</t>
        </is>
      </c>
      <c r="X181" t="inlineStr">
        <is>
          <t>1992-03-27</t>
        </is>
      </c>
      <c r="Y181" t="n">
        <v>210</v>
      </c>
      <c r="Z181" t="n">
        <v>145</v>
      </c>
      <c r="AA181" t="n">
        <v>147</v>
      </c>
      <c r="AB181" t="n">
        <v>2</v>
      </c>
      <c r="AC181" t="n">
        <v>2</v>
      </c>
      <c r="AD181" t="n">
        <v>4</v>
      </c>
      <c r="AE181" t="n">
        <v>4</v>
      </c>
      <c r="AF181" t="n">
        <v>2</v>
      </c>
      <c r="AG181" t="n">
        <v>2</v>
      </c>
      <c r="AH181" t="n">
        <v>0</v>
      </c>
      <c r="AI181" t="n">
        <v>0</v>
      </c>
      <c r="AJ181" t="n">
        <v>3</v>
      </c>
      <c r="AK181" t="n">
        <v>3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HYPERLINK("http://catalog.hathitrust.org/Record/006182582","HathiTrust Record")</f>
        <v/>
      </c>
      <c r="AS181">
        <f>HYPERLINK("https://creighton-primo.hosted.exlibrisgroup.com/primo-explore/search?tab=default_tab&amp;search_scope=EVERYTHING&amp;vid=01CRU&amp;lang=en_US&amp;offset=0&amp;query=any,contains,991004877489702656","Catalog Record")</f>
        <v/>
      </c>
      <c r="AT181">
        <f>HYPERLINK("http://www.worldcat.org/oclc/5798973","WorldCat Record")</f>
        <v/>
      </c>
    </row>
    <row r="182">
      <c r="A182" t="inlineStr">
        <is>
          <t>No</t>
        </is>
      </c>
      <c r="B182" t="inlineStr">
        <is>
          <t>R724 .Y69 1988</t>
        </is>
      </c>
      <c r="C182" t="inlineStr">
        <is>
          <t>0                      R  0724000Y  69          1988</t>
        </is>
      </c>
      <c r="D182" t="inlineStr">
        <is>
          <t>Alpha and omega : ethics at the frontiers of life and death / Ernlé W.D. Young.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Young, Ernlé W. D.</t>
        </is>
      </c>
      <c r="L182" t="inlineStr">
        <is>
          <t>Stanford, Calif. : Stanford Alumni Association, c1988.</t>
        </is>
      </c>
      <c r="M182" t="inlineStr">
        <is>
          <t>1988</t>
        </is>
      </c>
      <c r="O182" t="inlineStr">
        <is>
          <t>eng</t>
        </is>
      </c>
      <c r="P182" t="inlineStr">
        <is>
          <t>cau</t>
        </is>
      </c>
      <c r="Q182" t="inlineStr">
        <is>
          <t>The Portable Stanford</t>
        </is>
      </c>
      <c r="R182" t="inlineStr">
        <is>
          <t xml:space="preserve">R  </t>
        </is>
      </c>
      <c r="S182" t="n">
        <v>1</v>
      </c>
      <c r="T182" t="n">
        <v>1</v>
      </c>
      <c r="U182" t="inlineStr">
        <is>
          <t>2004-10-21</t>
        </is>
      </c>
      <c r="V182" t="inlineStr">
        <is>
          <t>2004-10-21</t>
        </is>
      </c>
      <c r="W182" t="inlineStr">
        <is>
          <t>2004-10-21</t>
        </is>
      </c>
      <c r="X182" t="inlineStr">
        <is>
          <t>2004-10-21</t>
        </is>
      </c>
      <c r="Y182" t="n">
        <v>27</v>
      </c>
      <c r="Z182" t="n">
        <v>27</v>
      </c>
      <c r="AA182" t="n">
        <v>333</v>
      </c>
      <c r="AB182" t="n">
        <v>1</v>
      </c>
      <c r="AC182" t="n">
        <v>2</v>
      </c>
      <c r="AD182" t="n">
        <v>0</v>
      </c>
      <c r="AE182" t="n">
        <v>13</v>
      </c>
      <c r="AF182" t="n">
        <v>0</v>
      </c>
      <c r="AG182" t="n">
        <v>3</v>
      </c>
      <c r="AH182" t="n">
        <v>0</v>
      </c>
      <c r="AI182" t="n">
        <v>3</v>
      </c>
      <c r="AJ182" t="n">
        <v>0</v>
      </c>
      <c r="AK182" t="n">
        <v>7</v>
      </c>
      <c r="AL182" t="n">
        <v>0</v>
      </c>
      <c r="AM182" t="n">
        <v>1</v>
      </c>
      <c r="AN182" t="n">
        <v>0</v>
      </c>
      <c r="AO182" t="n">
        <v>2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HYPERLINK("https://creighton-primo.hosted.exlibrisgroup.com/primo-explore/search?tab=default_tab&amp;search_scope=EVERYTHING&amp;vid=01CRU&amp;lang=en_US&amp;offset=0&amp;query=any,contains,991004400249702656","Catalog Record")</f>
        <v/>
      </c>
      <c r="AT182">
        <f>HYPERLINK("http://www.worldcat.org/oclc/21278930","WorldCat Record")</f>
        <v/>
      </c>
    </row>
    <row r="183">
      <c r="A183" t="inlineStr">
        <is>
          <t>No</t>
        </is>
      </c>
      <c r="B183" t="inlineStr">
        <is>
          <t>R725.5 .B4513 2003</t>
        </is>
      </c>
      <c r="C183" t="inlineStr">
        <is>
          <t>0                      R  0725500B  4513        2003</t>
        </is>
      </c>
      <c r="D183" t="inlineStr">
        <is>
          <t>Everyday bioethics : reflections on bioethical choices in daily life / Giovanni Berlinguer.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Berlinguer, Giovanni.</t>
        </is>
      </c>
      <c r="L183" t="inlineStr">
        <is>
          <t>Amityville, NY : Baywood Pub., c2003.</t>
        </is>
      </c>
      <c r="M183" t="inlineStr">
        <is>
          <t>2003</t>
        </is>
      </c>
      <c r="O183" t="inlineStr">
        <is>
          <t>eng</t>
        </is>
      </c>
      <c r="P183" t="inlineStr">
        <is>
          <t>nyu</t>
        </is>
      </c>
      <c r="Q183" t="inlineStr">
        <is>
          <t>Policy, politics, health, and medicine series</t>
        </is>
      </c>
      <c r="R183" t="inlineStr">
        <is>
          <t xml:space="preserve">R  </t>
        </is>
      </c>
      <c r="S183" t="n">
        <v>2</v>
      </c>
      <c r="T183" t="n">
        <v>2</v>
      </c>
      <c r="U183" t="inlineStr">
        <is>
          <t>2003-11-13</t>
        </is>
      </c>
      <c r="V183" t="inlineStr">
        <is>
          <t>2003-11-13</t>
        </is>
      </c>
      <c r="W183" t="inlineStr">
        <is>
          <t>2003-02-27</t>
        </is>
      </c>
      <c r="X183" t="inlineStr">
        <is>
          <t>2003-02-27</t>
        </is>
      </c>
      <c r="Y183" t="n">
        <v>266</v>
      </c>
      <c r="Z183" t="n">
        <v>215</v>
      </c>
      <c r="AA183" t="n">
        <v>236</v>
      </c>
      <c r="AB183" t="n">
        <v>1</v>
      </c>
      <c r="AC183" t="n">
        <v>1</v>
      </c>
      <c r="AD183" t="n">
        <v>13</v>
      </c>
      <c r="AE183" t="n">
        <v>13</v>
      </c>
      <c r="AF183" t="n">
        <v>7</v>
      </c>
      <c r="AG183" t="n">
        <v>7</v>
      </c>
      <c r="AH183" t="n">
        <v>4</v>
      </c>
      <c r="AI183" t="n">
        <v>4</v>
      </c>
      <c r="AJ183" t="n">
        <v>7</v>
      </c>
      <c r="AK183" t="n">
        <v>7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HYPERLINK("http://catalog.hathitrust.org/Record/004318730","HathiTrust Record")</f>
        <v/>
      </c>
      <c r="AS183">
        <f>HYPERLINK("https://creighton-primo.hosted.exlibrisgroup.com/primo-explore/search?tab=default_tab&amp;search_scope=EVERYTHING&amp;vid=01CRU&amp;lang=en_US&amp;offset=0&amp;query=any,contains,991003990909702656","Catalog Record")</f>
        <v/>
      </c>
      <c r="AT183">
        <f>HYPERLINK("http://www.worldcat.org/oclc/49416048","WorldCat Record")</f>
        <v/>
      </c>
    </row>
    <row r="184">
      <c r="A184" t="inlineStr">
        <is>
          <t>No</t>
        </is>
      </c>
      <c r="B184" t="inlineStr">
        <is>
          <t>R725.5 .B52 2009</t>
        </is>
      </c>
      <c r="C184" t="inlineStr">
        <is>
          <t>0                      R  0725500B  52          2009</t>
        </is>
      </c>
      <c r="D184" t="inlineStr">
        <is>
          <t>Bioethics at the movies / edited by Sandra Shapshay.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Baltimore : Johns Hopkins University Press, 2009.</t>
        </is>
      </c>
      <c r="M184" t="inlineStr">
        <is>
          <t>2009</t>
        </is>
      </c>
      <c r="O184" t="inlineStr">
        <is>
          <t>eng</t>
        </is>
      </c>
      <c r="P184" t="inlineStr">
        <is>
          <t>mdu</t>
        </is>
      </c>
      <c r="R184" t="inlineStr">
        <is>
          <t xml:space="preserve">R  </t>
        </is>
      </c>
      <c r="S184" t="n">
        <v>2</v>
      </c>
      <c r="T184" t="n">
        <v>2</v>
      </c>
      <c r="U184" t="inlineStr">
        <is>
          <t>2010-06-04</t>
        </is>
      </c>
      <c r="V184" t="inlineStr">
        <is>
          <t>2010-06-04</t>
        </is>
      </c>
      <c r="W184" t="inlineStr">
        <is>
          <t>2009-11-16</t>
        </is>
      </c>
      <c r="X184" t="inlineStr">
        <is>
          <t>2009-11-16</t>
        </is>
      </c>
      <c r="Y184" t="n">
        <v>260</v>
      </c>
      <c r="Z184" t="n">
        <v>201</v>
      </c>
      <c r="AA184" t="n">
        <v>201</v>
      </c>
      <c r="AB184" t="n">
        <v>1</v>
      </c>
      <c r="AC184" t="n">
        <v>1</v>
      </c>
      <c r="AD184" t="n">
        <v>17</v>
      </c>
      <c r="AE184" t="n">
        <v>17</v>
      </c>
      <c r="AF184" t="n">
        <v>5</v>
      </c>
      <c r="AG184" t="n">
        <v>5</v>
      </c>
      <c r="AH184" t="n">
        <v>5</v>
      </c>
      <c r="AI184" t="n">
        <v>5</v>
      </c>
      <c r="AJ184" t="n">
        <v>8</v>
      </c>
      <c r="AK184" t="n">
        <v>8</v>
      </c>
      <c r="AL184" t="n">
        <v>0</v>
      </c>
      <c r="AM184" t="n">
        <v>0</v>
      </c>
      <c r="AN184" t="n">
        <v>3</v>
      </c>
      <c r="AO184" t="n">
        <v>3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HYPERLINK("https://creighton-primo.hosted.exlibrisgroup.com/primo-explore/search?tab=default_tab&amp;search_scope=EVERYTHING&amp;vid=01CRU&amp;lang=en_US&amp;offset=0&amp;query=any,contains,991005340829702656","Catalog Record")</f>
        <v/>
      </c>
      <c r="AT184">
        <f>HYPERLINK("http://www.worldcat.org/oclc/222250226","WorldCat Record")</f>
        <v/>
      </c>
    </row>
    <row r="185">
      <c r="A185" t="inlineStr">
        <is>
          <t>No</t>
        </is>
      </c>
      <c r="B185" t="inlineStr">
        <is>
          <t>R725.5 .C48 1982</t>
        </is>
      </c>
      <c r="C185" t="inlineStr">
        <is>
          <t>0                      R  0725500C  48          1982</t>
        </is>
      </c>
      <c r="D185" t="inlineStr">
        <is>
          <t>Who should decide? : paternalism in health care / James F. Childress.</t>
        </is>
      </c>
      <c r="F185" t="inlineStr">
        <is>
          <t>No</t>
        </is>
      </c>
      <c r="G185" t="inlineStr">
        <is>
          <t>1</t>
        </is>
      </c>
      <c r="H185" t="inlineStr">
        <is>
          <t>Yes</t>
        </is>
      </c>
      <c r="I185" t="inlineStr">
        <is>
          <t>No</t>
        </is>
      </c>
      <c r="J185" t="inlineStr">
        <is>
          <t>0</t>
        </is>
      </c>
      <c r="K185" t="inlineStr">
        <is>
          <t>Childress, James F.</t>
        </is>
      </c>
      <c r="L185" t="inlineStr">
        <is>
          <t>New York : Oxford University Press, 1982.</t>
        </is>
      </c>
      <c r="M185" t="inlineStr">
        <is>
          <t>1982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R  </t>
        </is>
      </c>
      <c r="S185" t="n">
        <v>44</v>
      </c>
      <c r="T185" t="n">
        <v>44</v>
      </c>
      <c r="U185" t="inlineStr">
        <is>
          <t>2004-02-02</t>
        </is>
      </c>
      <c r="V185" t="inlineStr">
        <is>
          <t>2004-02-02</t>
        </is>
      </c>
      <c r="W185" t="inlineStr">
        <is>
          <t>2000-01-05</t>
        </is>
      </c>
      <c r="X185" t="inlineStr">
        <is>
          <t>2000-01-05</t>
        </is>
      </c>
      <c r="Y185" t="n">
        <v>767</v>
      </c>
      <c r="Z185" t="n">
        <v>649</v>
      </c>
      <c r="AA185" t="n">
        <v>682</v>
      </c>
      <c r="AB185" t="n">
        <v>5</v>
      </c>
      <c r="AC185" t="n">
        <v>5</v>
      </c>
      <c r="AD185" t="n">
        <v>32</v>
      </c>
      <c r="AE185" t="n">
        <v>33</v>
      </c>
      <c r="AF185" t="n">
        <v>12</v>
      </c>
      <c r="AG185" t="n">
        <v>13</v>
      </c>
      <c r="AH185" t="n">
        <v>6</v>
      </c>
      <c r="AI185" t="n">
        <v>6</v>
      </c>
      <c r="AJ185" t="n">
        <v>14</v>
      </c>
      <c r="AK185" t="n">
        <v>15</v>
      </c>
      <c r="AL185" t="n">
        <v>2</v>
      </c>
      <c r="AM185" t="n">
        <v>2</v>
      </c>
      <c r="AN185" t="n">
        <v>4</v>
      </c>
      <c r="AO185" t="n">
        <v>4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HYPERLINK("http://catalog.hathitrust.org/Record/000192659","HathiTrust Record")</f>
        <v/>
      </c>
      <c r="AS185">
        <f>HYPERLINK("https://creighton-primo.hosted.exlibrisgroup.com/primo-explore/search?tab=default_tab&amp;search_scope=EVERYTHING&amp;vid=01CRU&amp;lang=en_US&amp;offset=0&amp;query=any,contains,991005245419702656","Catalog Record")</f>
        <v/>
      </c>
      <c r="AT185">
        <f>HYPERLINK("http://www.worldcat.org/oclc/8452099","WorldCat Record")</f>
        <v/>
      </c>
    </row>
    <row r="186">
      <c r="A186" t="inlineStr">
        <is>
          <t>No</t>
        </is>
      </c>
      <c r="B186" t="inlineStr">
        <is>
          <t>R725.5 .C49 1986</t>
        </is>
      </c>
      <c r="C186" t="inlineStr">
        <is>
          <t>0                      R  0725500C  49          1986</t>
        </is>
      </c>
      <c r="D186" t="inlineStr">
        <is>
          <t>Ethical issues in family medicine / Ronald J. Christie, C. Barry Hoffmaster.</t>
        </is>
      </c>
      <c r="F186" t="inlineStr">
        <is>
          <t>No</t>
        </is>
      </c>
      <c r="G186" t="inlineStr">
        <is>
          <t>1</t>
        </is>
      </c>
      <c r="H186" t="inlineStr">
        <is>
          <t>Yes</t>
        </is>
      </c>
      <c r="I186" t="inlineStr">
        <is>
          <t>No</t>
        </is>
      </c>
      <c r="J186" t="inlineStr">
        <is>
          <t>0</t>
        </is>
      </c>
      <c r="K186" t="inlineStr">
        <is>
          <t>Christie, Ronald J.</t>
        </is>
      </c>
      <c r="L186" t="inlineStr">
        <is>
          <t>New York : Oxford University Press, 1986.</t>
        </is>
      </c>
      <c r="M186" t="inlineStr">
        <is>
          <t>1986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R  </t>
        </is>
      </c>
      <c r="S186" t="n">
        <v>11</v>
      </c>
      <c r="T186" t="n">
        <v>11</v>
      </c>
      <c r="U186" t="inlineStr">
        <is>
          <t>2002-03-26</t>
        </is>
      </c>
      <c r="V186" t="inlineStr">
        <is>
          <t>2002-03-26</t>
        </is>
      </c>
      <c r="W186" t="inlineStr">
        <is>
          <t>1992-04-09</t>
        </is>
      </c>
      <c r="X186" t="inlineStr">
        <is>
          <t>1992-04-09</t>
        </is>
      </c>
      <c r="Y186" t="n">
        <v>428</v>
      </c>
      <c r="Z186" t="n">
        <v>333</v>
      </c>
      <c r="AA186" t="n">
        <v>341</v>
      </c>
      <c r="AB186" t="n">
        <v>2</v>
      </c>
      <c r="AC186" t="n">
        <v>2</v>
      </c>
      <c r="AD186" t="n">
        <v>17</v>
      </c>
      <c r="AE186" t="n">
        <v>18</v>
      </c>
      <c r="AF186" t="n">
        <v>5</v>
      </c>
      <c r="AG186" t="n">
        <v>6</v>
      </c>
      <c r="AH186" t="n">
        <v>3</v>
      </c>
      <c r="AI186" t="n">
        <v>3</v>
      </c>
      <c r="AJ186" t="n">
        <v>9</v>
      </c>
      <c r="AK186" t="n">
        <v>10</v>
      </c>
      <c r="AL186" t="n">
        <v>0</v>
      </c>
      <c r="AM186" t="n">
        <v>0</v>
      </c>
      <c r="AN186" t="n">
        <v>4</v>
      </c>
      <c r="AO186" t="n">
        <v>4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HYPERLINK("http://catalog.hathitrust.org/Record/000465735","HathiTrust Record")</f>
        <v/>
      </c>
      <c r="AS186">
        <f>HYPERLINK("https://creighton-primo.hosted.exlibrisgroup.com/primo-explore/search?tab=default_tab&amp;search_scope=EVERYTHING&amp;vid=01CRU&amp;lang=en_US&amp;offset=0&amp;query=any,contains,991000620039702656","Catalog Record")</f>
        <v/>
      </c>
      <c r="AT186">
        <f>HYPERLINK("http://www.worldcat.org/oclc/11971183","WorldCat Record")</f>
        <v/>
      </c>
    </row>
    <row r="187">
      <c r="A187" t="inlineStr">
        <is>
          <t>No</t>
        </is>
      </c>
      <c r="B187" t="inlineStr">
        <is>
          <t>R725.5 .E84 1985</t>
        </is>
      </c>
      <c r="C187" t="inlineStr">
        <is>
          <t>0                      R  0725500E  84          1985</t>
        </is>
      </c>
      <c r="D187" t="inlineStr">
        <is>
          <t>Ethics and critical care medicine / edited by John C. Moskop and Loretta Kopelman.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Dordrecht ; Boston : D. Reidel ; Hingham, MA, U.S.A. : Sold and distributed in the U.S.A. and Canada by Kluwer Academic, c1985.</t>
        </is>
      </c>
      <c r="M187" t="inlineStr">
        <is>
          <t>1985</t>
        </is>
      </c>
      <c r="O187" t="inlineStr">
        <is>
          <t>eng</t>
        </is>
      </c>
      <c r="P187" t="inlineStr">
        <is>
          <t xml:space="preserve">ne </t>
        </is>
      </c>
      <c r="Q187" t="inlineStr">
        <is>
          <t>Philosophy and medicine ; v. 19</t>
        </is>
      </c>
      <c r="R187" t="inlineStr">
        <is>
          <t xml:space="preserve">R  </t>
        </is>
      </c>
      <c r="S187" t="n">
        <v>6</v>
      </c>
      <c r="T187" t="n">
        <v>6</v>
      </c>
      <c r="U187" t="inlineStr">
        <is>
          <t>1998-04-23</t>
        </is>
      </c>
      <c r="V187" t="inlineStr">
        <is>
          <t>1998-04-23</t>
        </is>
      </c>
      <c r="W187" t="inlineStr">
        <is>
          <t>1991-12-06</t>
        </is>
      </c>
      <c r="X187" t="inlineStr">
        <is>
          <t>1991-12-06</t>
        </is>
      </c>
      <c r="Y187" t="n">
        <v>322</v>
      </c>
      <c r="Z187" t="n">
        <v>235</v>
      </c>
      <c r="AA187" t="n">
        <v>249</v>
      </c>
      <c r="AB187" t="n">
        <v>1</v>
      </c>
      <c r="AC187" t="n">
        <v>1</v>
      </c>
      <c r="AD187" t="n">
        <v>18</v>
      </c>
      <c r="AE187" t="n">
        <v>19</v>
      </c>
      <c r="AF187" t="n">
        <v>4</v>
      </c>
      <c r="AG187" t="n">
        <v>5</v>
      </c>
      <c r="AH187" t="n">
        <v>6</v>
      </c>
      <c r="AI187" t="n">
        <v>6</v>
      </c>
      <c r="AJ187" t="n">
        <v>15</v>
      </c>
      <c r="AK187" t="n">
        <v>16</v>
      </c>
      <c r="AL187" t="n">
        <v>0</v>
      </c>
      <c r="AM187" t="n">
        <v>0</v>
      </c>
      <c r="AN187" t="n">
        <v>1</v>
      </c>
      <c r="AO187" t="n">
        <v>1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HYPERLINK("https://creighton-primo.hosted.exlibrisgroup.com/primo-explore/search?tab=default_tab&amp;search_scope=EVERYTHING&amp;vid=01CRU&amp;lang=en_US&amp;offset=0&amp;query=any,contains,991000523569702656","Catalog Record")</f>
        <v/>
      </c>
      <c r="AT187">
        <f>HYPERLINK("http://www.worldcat.org/oclc/11346493","WorldCat Record")</f>
        <v/>
      </c>
    </row>
    <row r="188">
      <c r="A188" t="inlineStr">
        <is>
          <t>No</t>
        </is>
      </c>
      <c r="B188" t="inlineStr">
        <is>
          <t>R725.5 .L3 1998</t>
        </is>
      </c>
      <c r="C188" t="inlineStr">
        <is>
          <t>0                      R  0725500L  3           1998</t>
        </is>
      </c>
      <c r="D188" t="inlineStr">
        <is>
          <t>Managed care ethics : essays on the impact of managed care on traditional medical ethics / John La Puma.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La Puma, John.</t>
        </is>
      </c>
      <c r="L188" t="inlineStr">
        <is>
          <t>New York : Hatherleigh Press, c1998.</t>
        </is>
      </c>
      <c r="M188" t="inlineStr">
        <is>
          <t>1998</t>
        </is>
      </c>
      <c r="O188" t="inlineStr">
        <is>
          <t>eng</t>
        </is>
      </c>
      <c r="P188" t="inlineStr">
        <is>
          <t>nyu</t>
        </is>
      </c>
      <c r="Q188" t="inlineStr">
        <is>
          <t>A Hatherleigh CME book</t>
        </is>
      </c>
      <c r="R188" t="inlineStr">
        <is>
          <t xml:space="preserve">R  </t>
        </is>
      </c>
      <c r="S188" t="n">
        <v>2</v>
      </c>
      <c r="T188" t="n">
        <v>2</v>
      </c>
      <c r="U188" t="inlineStr">
        <is>
          <t>2003-02-15</t>
        </is>
      </c>
      <c r="V188" t="inlineStr">
        <is>
          <t>2003-02-15</t>
        </is>
      </c>
      <c r="W188" t="inlineStr">
        <is>
          <t>2002-04-11</t>
        </is>
      </c>
      <c r="X188" t="inlineStr">
        <is>
          <t>2002-04-11</t>
        </is>
      </c>
      <c r="Y188" t="n">
        <v>197</v>
      </c>
      <c r="Z188" t="n">
        <v>181</v>
      </c>
      <c r="AA188" t="n">
        <v>198</v>
      </c>
      <c r="AB188" t="n">
        <v>1</v>
      </c>
      <c r="AC188" t="n">
        <v>1</v>
      </c>
      <c r="AD188" t="n">
        <v>11</v>
      </c>
      <c r="AE188" t="n">
        <v>12</v>
      </c>
      <c r="AF188" t="n">
        <v>3</v>
      </c>
      <c r="AG188" t="n">
        <v>3</v>
      </c>
      <c r="AH188" t="n">
        <v>3</v>
      </c>
      <c r="AI188" t="n">
        <v>4</v>
      </c>
      <c r="AJ188" t="n">
        <v>8</v>
      </c>
      <c r="AK188" t="n">
        <v>9</v>
      </c>
      <c r="AL188" t="n">
        <v>0</v>
      </c>
      <c r="AM188" t="n">
        <v>0</v>
      </c>
      <c r="AN188" t="n">
        <v>2</v>
      </c>
      <c r="AO188" t="n">
        <v>2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HYPERLINK("https://creighton-primo.hosted.exlibrisgroup.com/primo-explore/search?tab=default_tab&amp;search_scope=EVERYTHING&amp;vid=01CRU&amp;lang=en_US&amp;offset=0&amp;query=any,contains,991003726249702656","Catalog Record")</f>
        <v/>
      </c>
      <c r="AT188">
        <f>HYPERLINK("http://www.worldcat.org/oclc/37844421","WorldCat Record")</f>
        <v/>
      </c>
    </row>
    <row r="189">
      <c r="A189" t="inlineStr">
        <is>
          <t>No</t>
        </is>
      </c>
      <c r="B189" t="inlineStr">
        <is>
          <t>R725.5 .L54 1978</t>
        </is>
      </c>
      <c r="C189" t="inlineStr">
        <is>
          <t>0                      R  0725500L  54          1978</t>
        </is>
      </c>
      <c r="D189" t="inlineStr">
        <is>
          <t>Life span : values and life-extending technologies / edited by Robert M. Veatch.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L189" t="inlineStr">
        <is>
          <t>San Francisco : Harper &amp; Row, c1979.</t>
        </is>
      </c>
      <c r="M189" t="inlineStr">
        <is>
          <t>1979</t>
        </is>
      </c>
      <c r="N189" t="inlineStr">
        <is>
          <t>1st ed.</t>
        </is>
      </c>
      <c r="O189" t="inlineStr">
        <is>
          <t>eng</t>
        </is>
      </c>
      <c r="P189" t="inlineStr">
        <is>
          <t>cau</t>
        </is>
      </c>
      <c r="R189" t="inlineStr">
        <is>
          <t xml:space="preserve">R  </t>
        </is>
      </c>
      <c r="S189" t="n">
        <v>5</v>
      </c>
      <c r="T189" t="n">
        <v>5</v>
      </c>
      <c r="U189" t="inlineStr">
        <is>
          <t>2004-04-05</t>
        </is>
      </c>
      <c r="V189" t="inlineStr">
        <is>
          <t>2004-04-05</t>
        </is>
      </c>
      <c r="W189" t="inlineStr">
        <is>
          <t>1992-04-26</t>
        </is>
      </c>
      <c r="X189" t="inlineStr">
        <is>
          <t>1992-04-26</t>
        </is>
      </c>
      <c r="Y189" t="n">
        <v>387</v>
      </c>
      <c r="Z189" t="n">
        <v>349</v>
      </c>
      <c r="AA189" t="n">
        <v>353</v>
      </c>
      <c r="AB189" t="n">
        <v>2</v>
      </c>
      <c r="AC189" t="n">
        <v>2</v>
      </c>
      <c r="AD189" t="n">
        <v>17</v>
      </c>
      <c r="AE189" t="n">
        <v>17</v>
      </c>
      <c r="AF189" t="n">
        <v>6</v>
      </c>
      <c r="AG189" t="n">
        <v>6</v>
      </c>
      <c r="AH189" t="n">
        <v>2</v>
      </c>
      <c r="AI189" t="n">
        <v>2</v>
      </c>
      <c r="AJ189" t="n">
        <v>13</v>
      </c>
      <c r="AK189" t="n">
        <v>13</v>
      </c>
      <c r="AL189" t="n">
        <v>1</v>
      </c>
      <c r="AM189" t="n">
        <v>1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HYPERLINK("http://catalog.hathitrust.org/Record/000685059","HathiTrust Record")</f>
        <v/>
      </c>
      <c r="AS189">
        <f>HYPERLINK("https://creighton-primo.hosted.exlibrisgroup.com/primo-explore/search?tab=default_tab&amp;search_scope=EVERYTHING&amp;vid=01CRU&amp;lang=en_US&amp;offset=0&amp;query=any,contains,991004660099702656","Catalog Record")</f>
        <v/>
      </c>
      <c r="AT189">
        <f>HYPERLINK("http://www.worldcat.org/oclc/4496525","WorldCat Record")</f>
        <v/>
      </c>
    </row>
    <row r="190">
      <c r="A190" t="inlineStr">
        <is>
          <t>No</t>
        </is>
      </c>
      <c r="B190" t="inlineStr">
        <is>
          <t>R725.5 .M38 1983</t>
        </is>
      </c>
      <c r="C190" t="inlineStr">
        <is>
          <t>0                      R  0725500M  38          1983</t>
        </is>
      </c>
      <c r="D190" t="inlineStr">
        <is>
          <t>The physician's covenant : images of the healer in medical ethics / William F. May.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May, William F.</t>
        </is>
      </c>
      <c r="L190" t="inlineStr">
        <is>
          <t>Philadelphia : Westminster Press, c1983.</t>
        </is>
      </c>
      <c r="M190" t="inlineStr">
        <is>
          <t>1983</t>
        </is>
      </c>
      <c r="N190" t="inlineStr">
        <is>
          <t>1st ed.</t>
        </is>
      </c>
      <c r="O190" t="inlineStr">
        <is>
          <t>eng</t>
        </is>
      </c>
      <c r="P190" t="inlineStr">
        <is>
          <t>pau</t>
        </is>
      </c>
      <c r="R190" t="inlineStr">
        <is>
          <t xml:space="preserve">R  </t>
        </is>
      </c>
      <c r="S190" t="n">
        <v>14</v>
      </c>
      <c r="T190" t="n">
        <v>14</v>
      </c>
      <c r="U190" t="inlineStr">
        <is>
          <t>2010-11-19</t>
        </is>
      </c>
      <c r="V190" t="inlineStr">
        <is>
          <t>2010-11-19</t>
        </is>
      </c>
      <c r="W190" t="inlineStr">
        <is>
          <t>1992-04-26</t>
        </is>
      </c>
      <c r="X190" t="inlineStr">
        <is>
          <t>1992-04-26</t>
        </is>
      </c>
      <c r="Y190" t="n">
        <v>473</v>
      </c>
      <c r="Z190" t="n">
        <v>412</v>
      </c>
      <c r="AA190" t="n">
        <v>512</v>
      </c>
      <c r="AB190" t="n">
        <v>2</v>
      </c>
      <c r="AC190" t="n">
        <v>3</v>
      </c>
      <c r="AD190" t="n">
        <v>22</v>
      </c>
      <c r="AE190" t="n">
        <v>30</v>
      </c>
      <c r="AF190" t="n">
        <v>8</v>
      </c>
      <c r="AG190" t="n">
        <v>12</v>
      </c>
      <c r="AH190" t="n">
        <v>5</v>
      </c>
      <c r="AI190" t="n">
        <v>6</v>
      </c>
      <c r="AJ190" t="n">
        <v>16</v>
      </c>
      <c r="AK190" t="n">
        <v>20</v>
      </c>
      <c r="AL190" t="n">
        <v>0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HYPERLINK("http://catalog.hathitrust.org/Record/000167252","HathiTrust Record")</f>
        <v/>
      </c>
      <c r="AS190">
        <f>HYPERLINK("https://creighton-primo.hosted.exlibrisgroup.com/primo-explore/search?tab=default_tab&amp;search_scope=EVERYTHING&amp;vid=01CRU&amp;lang=en_US&amp;offset=0&amp;query=any,contains,991000286309702656","Catalog Record")</f>
        <v/>
      </c>
      <c r="AT190">
        <f>HYPERLINK("http://www.worldcat.org/oclc/9944039","WorldCat Record")</f>
        <v/>
      </c>
    </row>
    <row r="191">
      <c r="A191" t="inlineStr">
        <is>
          <t>No</t>
        </is>
      </c>
      <c r="B191" t="inlineStr">
        <is>
          <t>R725.5 .P45 1988</t>
        </is>
      </c>
      <c r="C191" t="inlineStr">
        <is>
          <t>0                      R  0725500P  45          1988</t>
        </is>
      </c>
      <c r="D191" t="inlineStr">
        <is>
          <t>For the patient's good : the restoration of beneficence in health care / Edmund D. Pellegrino, David C. Thomasma.</t>
        </is>
      </c>
      <c r="F191" t="inlineStr">
        <is>
          <t>No</t>
        </is>
      </c>
      <c r="G191" t="inlineStr">
        <is>
          <t>1</t>
        </is>
      </c>
      <c r="H191" t="inlineStr">
        <is>
          <t>Yes</t>
        </is>
      </c>
      <c r="I191" t="inlineStr">
        <is>
          <t>No</t>
        </is>
      </c>
      <c r="J191" t="inlineStr">
        <is>
          <t>0</t>
        </is>
      </c>
      <c r="K191" t="inlineStr">
        <is>
          <t>Pellegrino, Edmund D., 1920-2013.</t>
        </is>
      </c>
      <c r="L191" t="inlineStr">
        <is>
          <t>New York : Oxford University Press, 1988.</t>
        </is>
      </c>
      <c r="M191" t="inlineStr">
        <is>
          <t>1988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R  </t>
        </is>
      </c>
      <c r="S191" t="n">
        <v>36</v>
      </c>
      <c r="T191" t="n">
        <v>36</v>
      </c>
      <c r="U191" t="inlineStr">
        <is>
          <t>2004-11-21</t>
        </is>
      </c>
      <c r="V191" t="inlineStr">
        <is>
          <t>2004-11-21</t>
        </is>
      </c>
      <c r="W191" t="inlineStr">
        <is>
          <t>1990-03-13</t>
        </is>
      </c>
      <c r="X191" t="inlineStr">
        <is>
          <t>1990-03-13</t>
        </is>
      </c>
      <c r="Y191" t="n">
        <v>580</v>
      </c>
      <c r="Z191" t="n">
        <v>471</v>
      </c>
      <c r="AA191" t="n">
        <v>474</v>
      </c>
      <c r="AB191" t="n">
        <v>4</v>
      </c>
      <c r="AC191" t="n">
        <v>4</v>
      </c>
      <c r="AD191" t="n">
        <v>32</v>
      </c>
      <c r="AE191" t="n">
        <v>32</v>
      </c>
      <c r="AF191" t="n">
        <v>12</v>
      </c>
      <c r="AG191" t="n">
        <v>12</v>
      </c>
      <c r="AH191" t="n">
        <v>7</v>
      </c>
      <c r="AI191" t="n">
        <v>7</v>
      </c>
      <c r="AJ191" t="n">
        <v>18</v>
      </c>
      <c r="AK191" t="n">
        <v>18</v>
      </c>
      <c r="AL191" t="n">
        <v>2</v>
      </c>
      <c r="AM191" t="n">
        <v>2</v>
      </c>
      <c r="AN191" t="n">
        <v>5</v>
      </c>
      <c r="AO191" t="n">
        <v>5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HYPERLINK("http://catalog.hathitrust.org/Record/000874489","HathiTrust Record")</f>
        <v/>
      </c>
      <c r="AS191">
        <f>HYPERLINK("https://creighton-primo.hosted.exlibrisgroup.com/primo-explore/search?tab=default_tab&amp;search_scope=EVERYTHING&amp;vid=01CRU&amp;lang=en_US&amp;offset=0&amp;query=any,contains,991001068679702656","Catalog Record")</f>
        <v/>
      </c>
      <c r="AT191">
        <f>HYPERLINK("http://www.worldcat.org/oclc/15856289","WorldCat Record")</f>
        <v/>
      </c>
    </row>
    <row r="192">
      <c r="A192" t="inlineStr">
        <is>
          <t>No</t>
        </is>
      </c>
      <c r="B192" t="inlineStr">
        <is>
          <t>R725.5 .P46 2000</t>
        </is>
      </c>
      <c r="C192" t="inlineStr">
        <is>
          <t>0                      R  0725500P  46          2000</t>
        </is>
      </c>
      <c r="D192" t="inlineStr">
        <is>
          <t>Re-creating medicine : ethical issues at the frontiers of medicine / Gregory E. Pence.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Pence, Gregory E.</t>
        </is>
      </c>
      <c r="L192" t="inlineStr">
        <is>
          <t>Lanham, MD : Rowman &amp; Littlefield, c2000.</t>
        </is>
      </c>
      <c r="M192" t="inlineStr">
        <is>
          <t>2000</t>
        </is>
      </c>
      <c r="O192" t="inlineStr">
        <is>
          <t>eng</t>
        </is>
      </c>
      <c r="P192" t="inlineStr">
        <is>
          <t>mdu</t>
        </is>
      </c>
      <c r="R192" t="inlineStr">
        <is>
          <t xml:space="preserve">R  </t>
        </is>
      </c>
      <c r="S192" t="n">
        <v>8</v>
      </c>
      <c r="T192" t="n">
        <v>8</v>
      </c>
      <c r="U192" t="inlineStr">
        <is>
          <t>2007-11-13</t>
        </is>
      </c>
      <c r="V192" t="inlineStr">
        <is>
          <t>2007-11-13</t>
        </is>
      </c>
      <c r="W192" t="inlineStr">
        <is>
          <t>2002-10-28</t>
        </is>
      </c>
      <c r="X192" t="inlineStr">
        <is>
          <t>2002-10-28</t>
        </is>
      </c>
      <c r="Y192" t="n">
        <v>671</v>
      </c>
      <c r="Z192" t="n">
        <v>598</v>
      </c>
      <c r="AA192" t="n">
        <v>619</v>
      </c>
      <c r="AB192" t="n">
        <v>3</v>
      </c>
      <c r="AC192" t="n">
        <v>3</v>
      </c>
      <c r="AD192" t="n">
        <v>25</v>
      </c>
      <c r="AE192" t="n">
        <v>25</v>
      </c>
      <c r="AF192" t="n">
        <v>10</v>
      </c>
      <c r="AG192" t="n">
        <v>10</v>
      </c>
      <c r="AH192" t="n">
        <v>4</v>
      </c>
      <c r="AI192" t="n">
        <v>4</v>
      </c>
      <c r="AJ192" t="n">
        <v>16</v>
      </c>
      <c r="AK192" t="n">
        <v>16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HYPERLINK("https://creighton-primo.hosted.exlibrisgroup.com/primo-explore/search?tab=default_tab&amp;search_scope=EVERYTHING&amp;vid=01CRU&amp;lang=en_US&amp;offset=0&amp;query=any,contains,991003913519702656","Catalog Record")</f>
        <v/>
      </c>
      <c r="AT192">
        <f>HYPERLINK("http://www.worldcat.org/oclc/43114535","WorldCat Record")</f>
        <v/>
      </c>
    </row>
    <row r="193">
      <c r="A193" t="inlineStr">
        <is>
          <t>No</t>
        </is>
      </c>
      <c r="B193" t="inlineStr">
        <is>
          <t>R725.5 .T57 1985</t>
        </is>
      </c>
      <c r="C193" t="inlineStr">
        <is>
          <t>0                      R  0725500T  57          1985</t>
        </is>
      </c>
      <c r="D193" t="inlineStr">
        <is>
          <t>Theology and bioethics : exploring the foundations and frontiers / edited by Earl E. Shelp.</t>
        </is>
      </c>
      <c r="F193" t="inlineStr">
        <is>
          <t>No</t>
        </is>
      </c>
      <c r="G193" t="inlineStr">
        <is>
          <t>1</t>
        </is>
      </c>
      <c r="H193" t="inlineStr">
        <is>
          <t>Yes</t>
        </is>
      </c>
      <c r="I193" t="inlineStr">
        <is>
          <t>No</t>
        </is>
      </c>
      <c r="J193" t="inlineStr">
        <is>
          <t>0</t>
        </is>
      </c>
      <c r="L193" t="inlineStr">
        <is>
          <t>Dordrecht, Holland ; Boston : D. Reidel ; Hingham, MA, U.S.A. : Sold and distributed in the U.S.A. and Canada by Kluwer Academic, c1985.</t>
        </is>
      </c>
      <c r="M193" t="inlineStr">
        <is>
          <t>1985</t>
        </is>
      </c>
      <c r="O193" t="inlineStr">
        <is>
          <t>eng</t>
        </is>
      </c>
      <c r="P193" t="inlineStr">
        <is>
          <t xml:space="preserve">ne </t>
        </is>
      </c>
      <c r="Q193" t="inlineStr">
        <is>
          <t>Philosophy and medicine ; v. 20</t>
        </is>
      </c>
      <c r="R193" t="inlineStr">
        <is>
          <t xml:space="preserve">R  </t>
        </is>
      </c>
      <c r="S193" t="n">
        <v>12</v>
      </c>
      <c r="T193" t="n">
        <v>12</v>
      </c>
      <c r="U193" t="inlineStr">
        <is>
          <t>2000-08-21</t>
        </is>
      </c>
      <c r="V193" t="inlineStr">
        <is>
          <t>2000-08-21</t>
        </is>
      </c>
      <c r="W193" t="inlineStr">
        <is>
          <t>1993-03-08</t>
        </is>
      </c>
      <c r="X193" t="inlineStr">
        <is>
          <t>1993-03-08</t>
        </is>
      </c>
      <c r="Y193" t="n">
        <v>470</v>
      </c>
      <c r="Z193" t="n">
        <v>357</v>
      </c>
      <c r="AA193" t="n">
        <v>362</v>
      </c>
      <c r="AB193" t="n">
        <v>2</v>
      </c>
      <c r="AC193" t="n">
        <v>2</v>
      </c>
      <c r="AD193" t="n">
        <v>23</v>
      </c>
      <c r="AE193" t="n">
        <v>23</v>
      </c>
      <c r="AF193" t="n">
        <v>8</v>
      </c>
      <c r="AG193" t="n">
        <v>8</v>
      </c>
      <c r="AH193" t="n">
        <v>6</v>
      </c>
      <c r="AI193" t="n">
        <v>6</v>
      </c>
      <c r="AJ193" t="n">
        <v>18</v>
      </c>
      <c r="AK193" t="n">
        <v>18</v>
      </c>
      <c r="AL193" t="n">
        <v>0</v>
      </c>
      <c r="AM193" t="n">
        <v>0</v>
      </c>
      <c r="AN193" t="n">
        <v>1</v>
      </c>
      <c r="AO193" t="n">
        <v>1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HYPERLINK("https://creighton-primo.hosted.exlibrisgroup.com/primo-explore/search?tab=default_tab&amp;search_scope=EVERYTHING&amp;vid=01CRU&amp;lang=en_US&amp;offset=0&amp;query=any,contains,991000642839702656","Catalog Record")</f>
        <v/>
      </c>
      <c r="AT193">
        <f>HYPERLINK("http://www.worldcat.org/oclc/12107447","WorldCat Record")</f>
        <v/>
      </c>
    </row>
    <row r="194">
      <c r="A194" t="inlineStr">
        <is>
          <t>No</t>
        </is>
      </c>
      <c r="B194" t="inlineStr">
        <is>
          <t>R725.5 .W43 2001</t>
        </is>
      </c>
      <c r="C194" t="inlineStr">
        <is>
          <t>0                      R  0725500W  43          2001</t>
        </is>
      </c>
      <c r="D194" t="inlineStr">
        <is>
          <t>Business ethics in healthcare : beyond compliance / Leonard J. Weber.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Weber, Leonard J., 1942-</t>
        </is>
      </c>
      <c r="L194" t="inlineStr">
        <is>
          <t>Bloomington : Indiana University Press, 2001.</t>
        </is>
      </c>
      <c r="M194" t="inlineStr">
        <is>
          <t>2001</t>
        </is>
      </c>
      <c r="O194" t="inlineStr">
        <is>
          <t>eng</t>
        </is>
      </c>
      <c r="P194" t="inlineStr">
        <is>
          <t>inu</t>
        </is>
      </c>
      <c r="Q194" t="inlineStr">
        <is>
          <t>Medical ethics series</t>
        </is>
      </c>
      <c r="R194" t="inlineStr">
        <is>
          <t xml:space="preserve">R  </t>
        </is>
      </c>
      <c r="S194" t="n">
        <v>3</v>
      </c>
      <c r="T194" t="n">
        <v>3</v>
      </c>
      <c r="U194" t="inlineStr">
        <is>
          <t>2010-06-23</t>
        </is>
      </c>
      <c r="V194" t="inlineStr">
        <is>
          <t>2010-06-23</t>
        </is>
      </c>
      <c r="W194" t="inlineStr">
        <is>
          <t>2002-02-11</t>
        </is>
      </c>
      <c r="X194" t="inlineStr">
        <is>
          <t>2002-02-11</t>
        </is>
      </c>
      <c r="Y194" t="n">
        <v>293</v>
      </c>
      <c r="Z194" t="n">
        <v>259</v>
      </c>
      <c r="AA194" t="n">
        <v>647</v>
      </c>
      <c r="AB194" t="n">
        <v>2</v>
      </c>
      <c r="AC194" t="n">
        <v>6</v>
      </c>
      <c r="AD194" t="n">
        <v>15</v>
      </c>
      <c r="AE194" t="n">
        <v>33</v>
      </c>
      <c r="AF194" t="n">
        <v>3</v>
      </c>
      <c r="AG194" t="n">
        <v>10</v>
      </c>
      <c r="AH194" t="n">
        <v>4</v>
      </c>
      <c r="AI194" t="n">
        <v>8</v>
      </c>
      <c r="AJ194" t="n">
        <v>9</v>
      </c>
      <c r="AK194" t="n">
        <v>13</v>
      </c>
      <c r="AL194" t="n">
        <v>1</v>
      </c>
      <c r="AM194" t="n">
        <v>5</v>
      </c>
      <c r="AN194" t="n">
        <v>2</v>
      </c>
      <c r="AO194" t="n">
        <v>3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HYPERLINK("https://creighton-primo.hosted.exlibrisgroup.com/primo-explore/search?tab=default_tab&amp;search_scope=EVERYTHING&amp;vid=01CRU&amp;lang=en_US&amp;offset=0&amp;query=any,contains,991003719659702656","Catalog Record")</f>
        <v/>
      </c>
      <c r="AT194">
        <f>HYPERLINK("http://www.worldcat.org/oclc/44493256","WorldCat Record")</f>
        <v/>
      </c>
    </row>
    <row r="195">
      <c r="A195" t="inlineStr">
        <is>
          <t>No</t>
        </is>
      </c>
      <c r="B195" t="inlineStr">
        <is>
          <t>R725.5 .W55 2000</t>
        </is>
      </c>
      <c r="C195" t="inlineStr">
        <is>
          <t>0                      R  0725500W  55          2000</t>
        </is>
      </c>
      <c r="D195" t="inlineStr">
        <is>
          <t>Moral acquaintances : methodology in bioethics / Kevin Wm. Wildes.</t>
        </is>
      </c>
      <c r="F195" t="inlineStr">
        <is>
          <t>No</t>
        </is>
      </c>
      <c r="G195" t="inlineStr">
        <is>
          <t>1</t>
        </is>
      </c>
      <c r="H195" t="inlineStr">
        <is>
          <t>Yes</t>
        </is>
      </c>
      <c r="I195" t="inlineStr">
        <is>
          <t>No</t>
        </is>
      </c>
      <c r="J195" t="inlineStr">
        <is>
          <t>0</t>
        </is>
      </c>
      <c r="K195" t="inlineStr">
        <is>
          <t>Wildes, Kevin Wm. (Kevin William), 1954-</t>
        </is>
      </c>
      <c r="L195" t="inlineStr">
        <is>
          <t>Notre Dame, Ind. : University of Notre Dame Press, c2000.</t>
        </is>
      </c>
      <c r="M195" t="inlineStr">
        <is>
          <t>2000</t>
        </is>
      </c>
      <c r="O195" t="inlineStr">
        <is>
          <t>eng</t>
        </is>
      </c>
      <c r="P195" t="inlineStr">
        <is>
          <t>inu</t>
        </is>
      </c>
      <c r="R195" t="inlineStr">
        <is>
          <t xml:space="preserve">R  </t>
        </is>
      </c>
      <c r="S195" t="n">
        <v>2</v>
      </c>
      <c r="T195" t="n">
        <v>2</v>
      </c>
      <c r="U195" t="inlineStr">
        <is>
          <t>2003-04-30</t>
        </is>
      </c>
      <c r="V195" t="inlineStr">
        <is>
          <t>2003-04-30</t>
        </is>
      </c>
      <c r="W195" t="inlineStr">
        <is>
          <t>2003-04-30</t>
        </is>
      </c>
      <c r="X195" t="inlineStr">
        <is>
          <t>2009-10-08</t>
        </is>
      </c>
      <c r="Y195" t="n">
        <v>346</v>
      </c>
      <c r="Z195" t="n">
        <v>282</v>
      </c>
      <c r="AA195" t="n">
        <v>289</v>
      </c>
      <c r="AB195" t="n">
        <v>2</v>
      </c>
      <c r="AC195" t="n">
        <v>2</v>
      </c>
      <c r="AD195" t="n">
        <v>25</v>
      </c>
      <c r="AE195" t="n">
        <v>25</v>
      </c>
      <c r="AF195" t="n">
        <v>9</v>
      </c>
      <c r="AG195" t="n">
        <v>9</v>
      </c>
      <c r="AH195" t="n">
        <v>6</v>
      </c>
      <c r="AI195" t="n">
        <v>6</v>
      </c>
      <c r="AJ195" t="n">
        <v>18</v>
      </c>
      <c r="AK195" t="n">
        <v>18</v>
      </c>
      <c r="AL195" t="n">
        <v>0</v>
      </c>
      <c r="AM195" t="n">
        <v>0</v>
      </c>
      <c r="AN195" t="n">
        <v>2</v>
      </c>
      <c r="AO195" t="n">
        <v>2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HYPERLINK("http://catalog.hathitrust.org/Record/003510260","HathiTrust Record")</f>
        <v/>
      </c>
      <c r="AS195">
        <f>HYPERLINK("https://creighton-primo.hosted.exlibrisgroup.com/primo-explore/search?tab=default_tab&amp;search_scope=EVERYTHING&amp;vid=01CRU&amp;lang=en_US&amp;offset=0&amp;query=any,contains,991001721229702656","Catalog Record")</f>
        <v/>
      </c>
      <c r="AT195">
        <f>HYPERLINK("http://www.worldcat.org/oclc/44016638","WorldCat Record")</f>
        <v/>
      </c>
    </row>
    <row r="196">
      <c r="A196" t="inlineStr">
        <is>
          <t>No</t>
        </is>
      </c>
      <c r="B196" t="inlineStr">
        <is>
          <t>R725.55 .B56 v.4</t>
        </is>
      </c>
      <c r="C196" t="inlineStr">
        <is>
          <t>0                      R  0725550B  56                                                      v.4</t>
        </is>
      </c>
      <c r="D196" t="inlineStr">
        <is>
          <t>Regional developments in bioethics, 1991-1993 / edited by B. Andrew Lustig.</t>
        </is>
      </c>
      <c r="E196" t="inlineStr">
        <is>
          <t>V. 4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Dordrecht ; Boston : Kluwer Academic, c1995.</t>
        </is>
      </c>
      <c r="M196" t="inlineStr">
        <is>
          <t>1995</t>
        </is>
      </c>
      <c r="O196" t="inlineStr">
        <is>
          <t>eng</t>
        </is>
      </c>
      <c r="P196" t="inlineStr">
        <is>
          <t xml:space="preserve">ne </t>
        </is>
      </c>
      <c r="Q196" t="inlineStr">
        <is>
          <t>Bioethics yearbook ; v. 4</t>
        </is>
      </c>
      <c r="R196" t="inlineStr">
        <is>
          <t xml:space="preserve">R  </t>
        </is>
      </c>
      <c r="S196" t="n">
        <v>6</v>
      </c>
      <c r="T196" t="n">
        <v>6</v>
      </c>
      <c r="U196" t="inlineStr">
        <is>
          <t>2003-05-30</t>
        </is>
      </c>
      <c r="V196" t="inlineStr">
        <is>
          <t>2003-05-30</t>
        </is>
      </c>
      <c r="W196" t="inlineStr">
        <is>
          <t>1997-11-18</t>
        </is>
      </c>
      <c r="X196" t="inlineStr">
        <is>
          <t>1997-11-18</t>
        </is>
      </c>
      <c r="Y196" t="n">
        <v>40</v>
      </c>
      <c r="Z196" t="n">
        <v>28</v>
      </c>
      <c r="AA196" t="n">
        <v>31</v>
      </c>
      <c r="AB196" t="n">
        <v>1</v>
      </c>
      <c r="AC196" t="n">
        <v>1</v>
      </c>
      <c r="AD196" t="n">
        <v>2</v>
      </c>
      <c r="AE196" t="n">
        <v>3</v>
      </c>
      <c r="AF196" t="n">
        <v>0</v>
      </c>
      <c r="AG196" t="n">
        <v>1</v>
      </c>
      <c r="AH196" t="n">
        <v>0</v>
      </c>
      <c r="AI196" t="n">
        <v>0</v>
      </c>
      <c r="AJ196" t="n">
        <v>1</v>
      </c>
      <c r="AK196" t="n">
        <v>2</v>
      </c>
      <c r="AL196" t="n">
        <v>0</v>
      </c>
      <c r="AM196" t="n">
        <v>0</v>
      </c>
      <c r="AN196" t="n">
        <v>1</v>
      </c>
      <c r="AO196" t="n">
        <v>1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HYPERLINK("https://creighton-primo.hosted.exlibrisgroup.com/primo-explore/search?tab=default_tab&amp;search_scope=EVERYTHING&amp;vid=01CRU&amp;lang=en_US&amp;offset=0&amp;query=any,contains,991002439659702656","Catalog Record")</f>
        <v/>
      </c>
      <c r="AT196">
        <f>HYPERLINK("http://www.worldcat.org/oclc/31794209","WorldCat Record")</f>
        <v/>
      </c>
    </row>
    <row r="197">
      <c r="A197" t="inlineStr">
        <is>
          <t>No</t>
        </is>
      </c>
      <c r="B197" t="inlineStr">
        <is>
          <t>R725.55 .V38 1989</t>
        </is>
      </c>
      <c r="C197" t="inlineStr">
        <is>
          <t>0                      R  0725550V  38          1989</t>
        </is>
      </c>
      <c r="D197" t="inlineStr">
        <is>
          <t>Birth ethics : religious and cultural values in the genesis of life / Kenneth L. Vaux.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Vaux, Kenneth L., 1939-</t>
        </is>
      </c>
      <c r="L197" t="inlineStr">
        <is>
          <t>New York : Crossroad, 1989.</t>
        </is>
      </c>
      <c r="M197" t="inlineStr">
        <is>
          <t>1989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R  </t>
        </is>
      </c>
      <c r="S197" t="n">
        <v>26</v>
      </c>
      <c r="T197" t="n">
        <v>26</v>
      </c>
      <c r="U197" t="inlineStr">
        <is>
          <t>2008-04-13</t>
        </is>
      </c>
      <c r="V197" t="inlineStr">
        <is>
          <t>2008-04-13</t>
        </is>
      </c>
      <c r="W197" t="inlineStr">
        <is>
          <t>1990-11-05</t>
        </is>
      </c>
      <c r="X197" t="inlineStr">
        <is>
          <t>1990-11-05</t>
        </is>
      </c>
      <c r="Y197" t="n">
        <v>501</v>
      </c>
      <c r="Z197" t="n">
        <v>436</v>
      </c>
      <c r="AA197" t="n">
        <v>443</v>
      </c>
      <c r="AB197" t="n">
        <v>5</v>
      </c>
      <c r="AC197" t="n">
        <v>5</v>
      </c>
      <c r="AD197" t="n">
        <v>28</v>
      </c>
      <c r="AE197" t="n">
        <v>28</v>
      </c>
      <c r="AF197" t="n">
        <v>8</v>
      </c>
      <c r="AG197" t="n">
        <v>8</v>
      </c>
      <c r="AH197" t="n">
        <v>7</v>
      </c>
      <c r="AI197" t="n">
        <v>7</v>
      </c>
      <c r="AJ197" t="n">
        <v>18</v>
      </c>
      <c r="AK197" t="n">
        <v>18</v>
      </c>
      <c r="AL197" t="n">
        <v>4</v>
      </c>
      <c r="AM197" t="n">
        <v>4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HYPERLINK("http://catalog.hathitrust.org/Record/001815684","HathiTrust Record")</f>
        <v/>
      </c>
      <c r="AS197">
        <f>HYPERLINK("https://creighton-primo.hosted.exlibrisgroup.com/primo-explore/search?tab=default_tab&amp;search_scope=EVERYTHING&amp;vid=01CRU&amp;lang=en_US&amp;offset=0&amp;query=any,contains,991001481299702656","Catalog Record")</f>
        <v/>
      </c>
      <c r="AT197">
        <f>HYPERLINK("http://www.worldcat.org/oclc/19626080","WorldCat Record")</f>
        <v/>
      </c>
    </row>
    <row r="198">
      <c r="A198" t="inlineStr">
        <is>
          <t>No</t>
        </is>
      </c>
      <c r="B198" t="inlineStr">
        <is>
          <t>R725.56 .C37 1989</t>
        </is>
      </c>
      <c r="C198" t="inlineStr">
        <is>
          <t>0                      R  0725560C  37          1989</t>
        </is>
      </c>
      <c r="D198" t="inlineStr">
        <is>
          <t>Catholic perspectives on medical morals : foundational issues / edited by Edmund D. Pellegrino, John P. Langan and John Collins Harvey.</t>
        </is>
      </c>
      <c r="F198" t="inlineStr">
        <is>
          <t>No</t>
        </is>
      </c>
      <c r="G198" t="inlineStr">
        <is>
          <t>1</t>
        </is>
      </c>
      <c r="H198" t="inlineStr">
        <is>
          <t>Yes</t>
        </is>
      </c>
      <c r="I198" t="inlineStr">
        <is>
          <t>No</t>
        </is>
      </c>
      <c r="J198" t="inlineStr">
        <is>
          <t>0</t>
        </is>
      </c>
      <c r="L198" t="inlineStr">
        <is>
          <t>Dordrecht ; Boston : Kluwer Academic Publishers, c1989.</t>
        </is>
      </c>
      <c r="M198" t="inlineStr">
        <is>
          <t>1989</t>
        </is>
      </c>
      <c r="O198" t="inlineStr">
        <is>
          <t>eng</t>
        </is>
      </c>
      <c r="P198" t="inlineStr">
        <is>
          <t xml:space="preserve">ne </t>
        </is>
      </c>
      <c r="Q198" t="inlineStr">
        <is>
          <t>Philosophy and medicine ; v. 34</t>
        </is>
      </c>
      <c r="R198" t="inlineStr">
        <is>
          <t xml:space="preserve">R  </t>
        </is>
      </c>
      <c r="S198" t="n">
        <v>20</v>
      </c>
      <c r="T198" t="n">
        <v>29</v>
      </c>
      <c r="U198" t="inlineStr">
        <is>
          <t>2002-04-08</t>
        </is>
      </c>
      <c r="V198" t="inlineStr">
        <is>
          <t>2002-04-08</t>
        </is>
      </c>
      <c r="W198" t="inlineStr">
        <is>
          <t>1993-01-26</t>
        </is>
      </c>
      <c r="X198" t="inlineStr">
        <is>
          <t>1993-01-26</t>
        </is>
      </c>
      <c r="Y198" t="n">
        <v>388</v>
      </c>
      <c r="Z198" t="n">
        <v>303</v>
      </c>
      <c r="AA198" t="n">
        <v>312</v>
      </c>
      <c r="AB198" t="n">
        <v>2</v>
      </c>
      <c r="AC198" t="n">
        <v>2</v>
      </c>
      <c r="AD198" t="n">
        <v>35</v>
      </c>
      <c r="AE198" t="n">
        <v>35</v>
      </c>
      <c r="AF198" t="n">
        <v>10</v>
      </c>
      <c r="AG198" t="n">
        <v>10</v>
      </c>
      <c r="AH198" t="n">
        <v>11</v>
      </c>
      <c r="AI198" t="n">
        <v>11</v>
      </c>
      <c r="AJ198" t="n">
        <v>23</v>
      </c>
      <c r="AK198" t="n">
        <v>23</v>
      </c>
      <c r="AL198" t="n">
        <v>0</v>
      </c>
      <c r="AM198" t="n">
        <v>0</v>
      </c>
      <c r="AN198" t="n">
        <v>3</v>
      </c>
      <c r="AO198" t="n">
        <v>3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HYPERLINK("http://catalog.hathitrust.org/Record/001105803","HathiTrust Record")</f>
        <v/>
      </c>
      <c r="AS198">
        <f>HYPERLINK("https://creighton-primo.hosted.exlibrisgroup.com/primo-explore/search?tab=default_tab&amp;search_scope=EVERYTHING&amp;vid=01CRU&amp;lang=en_US&amp;offset=0&amp;query=any,contains,991001794269702656","Catalog Record")</f>
        <v/>
      </c>
      <c r="AT198">
        <f>HYPERLINK("http://www.worldcat.org/oclc/18327337","WorldCat Record")</f>
        <v/>
      </c>
    </row>
    <row r="199">
      <c r="A199" t="inlineStr">
        <is>
          <t>No</t>
        </is>
      </c>
      <c r="B199" t="inlineStr">
        <is>
          <t>R725.56 .D7 2003</t>
        </is>
      </c>
      <c r="C199" t="inlineStr">
        <is>
          <t>0                      R  0725560D  7           2003</t>
        </is>
      </c>
      <c r="D199" t="inlineStr">
        <is>
          <t>More humane medicine : a liberal Catholic bioethics / James F. Drane.</t>
        </is>
      </c>
      <c r="F199" t="inlineStr">
        <is>
          <t>No</t>
        </is>
      </c>
      <c r="G199" t="inlineStr">
        <is>
          <t>1</t>
        </is>
      </c>
      <c r="H199" t="inlineStr">
        <is>
          <t>Yes</t>
        </is>
      </c>
      <c r="I199" t="inlineStr">
        <is>
          <t>No</t>
        </is>
      </c>
      <c r="J199" t="inlineStr">
        <is>
          <t>0</t>
        </is>
      </c>
      <c r="K199" t="inlineStr">
        <is>
          <t>Drane, James F.</t>
        </is>
      </c>
      <c r="L199" t="inlineStr">
        <is>
          <t>Edinboro, Pa. : Edinboro University Press, c2003.</t>
        </is>
      </c>
      <c r="M199" t="inlineStr">
        <is>
          <t>2003</t>
        </is>
      </c>
      <c r="O199" t="inlineStr">
        <is>
          <t>eng</t>
        </is>
      </c>
      <c r="P199" t="inlineStr">
        <is>
          <t>pau</t>
        </is>
      </c>
      <c r="R199" t="inlineStr">
        <is>
          <t xml:space="preserve">R  </t>
        </is>
      </c>
      <c r="S199" t="n">
        <v>3</v>
      </c>
      <c r="T199" t="n">
        <v>3</v>
      </c>
      <c r="U199" t="inlineStr">
        <is>
          <t>2005-07-13</t>
        </is>
      </c>
      <c r="V199" t="inlineStr">
        <is>
          <t>2005-07-13</t>
        </is>
      </c>
      <c r="W199" t="inlineStr">
        <is>
          <t>2004-11-01</t>
        </is>
      </c>
      <c r="X199" t="inlineStr">
        <is>
          <t>2005-01-27</t>
        </is>
      </c>
      <c r="Y199" t="n">
        <v>216</v>
      </c>
      <c r="Z199" t="n">
        <v>199</v>
      </c>
      <c r="AA199" t="n">
        <v>205</v>
      </c>
      <c r="AB199" t="n">
        <v>2</v>
      </c>
      <c r="AC199" t="n">
        <v>2</v>
      </c>
      <c r="AD199" t="n">
        <v>30</v>
      </c>
      <c r="AE199" t="n">
        <v>30</v>
      </c>
      <c r="AF199" t="n">
        <v>11</v>
      </c>
      <c r="AG199" t="n">
        <v>11</v>
      </c>
      <c r="AH199" t="n">
        <v>6</v>
      </c>
      <c r="AI199" t="n">
        <v>6</v>
      </c>
      <c r="AJ199" t="n">
        <v>16</v>
      </c>
      <c r="AK199" t="n">
        <v>16</v>
      </c>
      <c r="AL199" t="n">
        <v>0</v>
      </c>
      <c r="AM199" t="n">
        <v>0</v>
      </c>
      <c r="AN199" t="n">
        <v>5</v>
      </c>
      <c r="AO199" t="n">
        <v>5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HYPERLINK("http://catalog.hathitrust.org/Record/004719205","HathiTrust Record")</f>
        <v/>
      </c>
      <c r="AS199">
        <f>HYPERLINK("https://creighton-primo.hosted.exlibrisgroup.com/primo-explore/search?tab=default_tab&amp;search_scope=EVERYTHING&amp;vid=01CRU&amp;lang=en_US&amp;offset=0&amp;query=any,contains,991001728489702656","Catalog Record")</f>
        <v/>
      </c>
      <c r="AT199">
        <f>HYPERLINK("http://www.worldcat.org/oclc/53023494","WorldCat Record")</f>
        <v/>
      </c>
    </row>
    <row r="200">
      <c r="A200" t="inlineStr">
        <is>
          <t>No</t>
        </is>
      </c>
      <c r="B200" t="inlineStr">
        <is>
          <t>R725.56 .O36 1996</t>
        </is>
      </c>
      <c r="C200" t="inlineStr">
        <is>
          <t>0                      R  0725560O  36          1996</t>
        </is>
      </c>
      <c r="D200" t="inlineStr">
        <is>
          <t>Medicine and Christian morality / Thomas J. O'Donnell.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Yes</t>
        </is>
      </c>
      <c r="J200" t="inlineStr">
        <is>
          <t>0</t>
        </is>
      </c>
      <c r="K200" t="inlineStr">
        <is>
          <t>O'Donnell, Thomas J. (Thomas Joseph), 1918-</t>
        </is>
      </c>
      <c r="L200" t="inlineStr">
        <is>
          <t>Staten Island, N.Y. : Alba House, c1996.</t>
        </is>
      </c>
      <c r="M200" t="inlineStr">
        <is>
          <t>1996</t>
        </is>
      </c>
      <c r="N200" t="inlineStr">
        <is>
          <t>3rd, rev. and updated ed.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R  </t>
        </is>
      </c>
      <c r="S200" t="n">
        <v>33</v>
      </c>
      <c r="T200" t="n">
        <v>33</v>
      </c>
      <c r="U200" t="inlineStr">
        <is>
          <t>2008-04-06</t>
        </is>
      </c>
      <c r="V200" t="inlineStr">
        <is>
          <t>2008-04-06</t>
        </is>
      </c>
      <c r="W200" t="inlineStr">
        <is>
          <t>1997-08-27</t>
        </is>
      </c>
      <c r="X200" t="inlineStr">
        <is>
          <t>1997-08-27</t>
        </is>
      </c>
      <c r="Y200" t="n">
        <v>75</v>
      </c>
      <c r="Z200" t="n">
        <v>65</v>
      </c>
      <c r="AA200" t="n">
        <v>301</v>
      </c>
      <c r="AB200" t="n">
        <v>1</v>
      </c>
      <c r="AC200" t="n">
        <v>4</v>
      </c>
      <c r="AD200" t="n">
        <v>5</v>
      </c>
      <c r="AE200" t="n">
        <v>27</v>
      </c>
      <c r="AF200" t="n">
        <v>1</v>
      </c>
      <c r="AG200" t="n">
        <v>7</v>
      </c>
      <c r="AH200" t="n">
        <v>1</v>
      </c>
      <c r="AI200" t="n">
        <v>8</v>
      </c>
      <c r="AJ200" t="n">
        <v>3</v>
      </c>
      <c r="AK200" t="n">
        <v>20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HYPERLINK("https://creighton-primo.hosted.exlibrisgroup.com/primo-explore/search?tab=default_tab&amp;search_scope=EVERYTHING&amp;vid=01CRU&amp;lang=en_US&amp;offset=0&amp;query=any,contains,991002651249702656","Catalog Record")</f>
        <v/>
      </c>
      <c r="AT200">
        <f>HYPERLINK("http://www.worldcat.org/oclc/34674923","WorldCat Record")</f>
        <v/>
      </c>
    </row>
    <row r="201">
      <c r="A201" t="inlineStr">
        <is>
          <t>No</t>
        </is>
      </c>
      <c r="B201" t="inlineStr">
        <is>
          <t>R725.56 .S54 1999</t>
        </is>
      </c>
      <c r="C201" t="inlineStr">
        <is>
          <t>0                      R  0725560S  54          1999</t>
        </is>
      </c>
      <c r="D201" t="inlineStr">
        <is>
          <t>The body of compassion : ethics, medicine, and the church / Joel James Shuman.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Shuman, Joel James.</t>
        </is>
      </c>
      <c r="L201" t="inlineStr">
        <is>
          <t>Boulder, Colo. : Westview Press, 1999.</t>
        </is>
      </c>
      <c r="M201" t="inlineStr">
        <is>
          <t>1999</t>
        </is>
      </c>
      <c r="O201" t="inlineStr">
        <is>
          <t>eng</t>
        </is>
      </c>
      <c r="P201" t="inlineStr">
        <is>
          <t>cou</t>
        </is>
      </c>
      <c r="Q201" t="inlineStr">
        <is>
          <t>Radical traditions</t>
        </is>
      </c>
      <c r="R201" t="inlineStr">
        <is>
          <t xml:space="preserve">R  </t>
        </is>
      </c>
      <c r="S201" t="n">
        <v>6</v>
      </c>
      <c r="T201" t="n">
        <v>6</v>
      </c>
      <c r="U201" t="inlineStr">
        <is>
          <t>2005-07-13</t>
        </is>
      </c>
      <c r="V201" t="inlineStr">
        <is>
          <t>2005-07-13</t>
        </is>
      </c>
      <c r="W201" t="inlineStr">
        <is>
          <t>2000-11-06</t>
        </is>
      </c>
      <c r="X201" t="inlineStr">
        <is>
          <t>2000-11-06</t>
        </is>
      </c>
      <c r="Y201" t="n">
        <v>357</v>
      </c>
      <c r="Z201" t="n">
        <v>291</v>
      </c>
      <c r="AA201" t="n">
        <v>308</v>
      </c>
      <c r="AB201" t="n">
        <v>3</v>
      </c>
      <c r="AC201" t="n">
        <v>3</v>
      </c>
      <c r="AD201" t="n">
        <v>19</v>
      </c>
      <c r="AE201" t="n">
        <v>21</v>
      </c>
      <c r="AF201" t="n">
        <v>5</v>
      </c>
      <c r="AG201" t="n">
        <v>7</v>
      </c>
      <c r="AH201" t="n">
        <v>6</v>
      </c>
      <c r="AI201" t="n">
        <v>6</v>
      </c>
      <c r="AJ201" t="n">
        <v>10</v>
      </c>
      <c r="AK201" t="n">
        <v>10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HYPERLINK("http://catalog.hathitrust.org/Record/004027832","HathiTrust Record")</f>
        <v/>
      </c>
      <c r="AS201">
        <f>HYPERLINK("https://creighton-primo.hosted.exlibrisgroup.com/primo-explore/search?tab=default_tab&amp;search_scope=EVERYTHING&amp;vid=01CRU&amp;lang=en_US&amp;offset=0&amp;query=any,contains,991003316449702656","Catalog Record")</f>
        <v/>
      </c>
      <c r="AT201">
        <f>HYPERLINK("http://www.worldcat.org/oclc/40516754","WorldCat Record")</f>
        <v/>
      </c>
    </row>
    <row r="202">
      <c r="A202" t="inlineStr">
        <is>
          <t>No</t>
        </is>
      </c>
      <c r="B202" t="inlineStr">
        <is>
          <t>R725.56 .T44 1993</t>
        </is>
      </c>
      <c r="C202" t="inlineStr">
        <is>
          <t>0                      R  0725560T  44          1993</t>
        </is>
      </c>
      <c r="D202" t="inlineStr">
        <is>
          <t>Theological voices in medical ethics / edited by Allen Verhey and Stephen E. Lammers.</t>
        </is>
      </c>
      <c r="F202" t="inlineStr">
        <is>
          <t>No</t>
        </is>
      </c>
      <c r="G202" t="inlineStr">
        <is>
          <t>1</t>
        </is>
      </c>
      <c r="H202" t="inlineStr">
        <is>
          <t>Yes</t>
        </is>
      </c>
      <c r="I202" t="inlineStr">
        <is>
          <t>No</t>
        </is>
      </c>
      <c r="J202" t="inlineStr">
        <is>
          <t>0</t>
        </is>
      </c>
      <c r="L202" t="inlineStr">
        <is>
          <t>Grand Rapids, Mich. : W.B. Eerdmans Pub. Co., 1993.</t>
        </is>
      </c>
      <c r="M202" t="inlineStr">
        <is>
          <t>1993</t>
        </is>
      </c>
      <c r="O202" t="inlineStr">
        <is>
          <t>eng</t>
        </is>
      </c>
      <c r="P202" t="inlineStr">
        <is>
          <t>miu</t>
        </is>
      </c>
      <c r="R202" t="inlineStr">
        <is>
          <t xml:space="preserve">R  </t>
        </is>
      </c>
      <c r="S202" t="n">
        <v>27</v>
      </c>
      <c r="T202" t="n">
        <v>36</v>
      </c>
      <c r="U202" t="inlineStr">
        <is>
          <t>2009-11-16</t>
        </is>
      </c>
      <c r="V202" t="inlineStr">
        <is>
          <t>2009-11-16</t>
        </is>
      </c>
      <c r="W202" t="inlineStr">
        <is>
          <t>1995-05-17</t>
        </is>
      </c>
      <c r="X202" t="inlineStr">
        <is>
          <t>1995-05-17</t>
        </is>
      </c>
      <c r="Y202" t="n">
        <v>472</v>
      </c>
      <c r="Z202" t="n">
        <v>371</v>
      </c>
      <c r="AA202" t="n">
        <v>374</v>
      </c>
      <c r="AB202" t="n">
        <v>2</v>
      </c>
      <c r="AC202" t="n">
        <v>2</v>
      </c>
      <c r="AD202" t="n">
        <v>23</v>
      </c>
      <c r="AE202" t="n">
        <v>23</v>
      </c>
      <c r="AF202" t="n">
        <v>10</v>
      </c>
      <c r="AG202" t="n">
        <v>10</v>
      </c>
      <c r="AH202" t="n">
        <v>4</v>
      </c>
      <c r="AI202" t="n">
        <v>4</v>
      </c>
      <c r="AJ202" t="n">
        <v>12</v>
      </c>
      <c r="AK202" t="n">
        <v>12</v>
      </c>
      <c r="AL202" t="n">
        <v>0</v>
      </c>
      <c r="AM202" t="n">
        <v>0</v>
      </c>
      <c r="AN202" t="n">
        <v>2</v>
      </c>
      <c r="AO202" t="n">
        <v>2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HYPERLINK("http://catalog.hathitrust.org/Record/003016154","HathiTrust Record")</f>
        <v/>
      </c>
      <c r="AS202">
        <f>HYPERLINK("https://creighton-primo.hosted.exlibrisgroup.com/primo-explore/search?tab=default_tab&amp;search_scope=EVERYTHING&amp;vid=01CRU&amp;lang=en_US&amp;offset=0&amp;query=any,contains,991001802629702656","Catalog Record")</f>
        <v/>
      </c>
      <c r="AT202">
        <f>HYPERLINK("http://www.worldcat.org/oclc/27066826","WorldCat Record")</f>
        <v/>
      </c>
    </row>
    <row r="203">
      <c r="A203" t="inlineStr">
        <is>
          <t>No</t>
        </is>
      </c>
      <c r="B203" t="inlineStr">
        <is>
          <t>R726 .B39</t>
        </is>
      </c>
      <c r="C203" t="inlineStr">
        <is>
          <t>0                      R  0726000B  39</t>
        </is>
      </c>
      <c r="D203" t="inlineStr">
        <is>
          <t>Beneficent euthanasia / edited by Marvin Kohl.</t>
        </is>
      </c>
      <c r="F203" t="inlineStr">
        <is>
          <t>No</t>
        </is>
      </c>
      <c r="G203" t="inlineStr">
        <is>
          <t>1</t>
        </is>
      </c>
      <c r="H203" t="inlineStr">
        <is>
          <t>Yes</t>
        </is>
      </c>
      <c r="I203" t="inlineStr">
        <is>
          <t>No</t>
        </is>
      </c>
      <c r="J203" t="inlineStr">
        <is>
          <t>0</t>
        </is>
      </c>
      <c r="L203" t="inlineStr">
        <is>
          <t>Buffalo : Prometheus Books, 1975.</t>
        </is>
      </c>
      <c r="M203" t="inlineStr">
        <is>
          <t>1975</t>
        </is>
      </c>
      <c r="O203" t="inlineStr">
        <is>
          <t>eng</t>
        </is>
      </c>
      <c r="P203" t="inlineStr">
        <is>
          <t>nyu</t>
        </is>
      </c>
      <c r="R203" t="inlineStr">
        <is>
          <t xml:space="preserve">R  </t>
        </is>
      </c>
      <c r="S203" t="n">
        <v>51</v>
      </c>
      <c r="T203" t="n">
        <v>67</v>
      </c>
      <c r="U203" t="inlineStr">
        <is>
          <t>2009-09-27</t>
        </is>
      </c>
      <c r="V203" t="inlineStr">
        <is>
          <t>2009-09-27</t>
        </is>
      </c>
      <c r="W203" t="inlineStr">
        <is>
          <t>1992-01-16</t>
        </is>
      </c>
      <c r="X203" t="inlineStr">
        <is>
          <t>1992-01-16</t>
        </is>
      </c>
      <c r="Y203" t="n">
        <v>1183</v>
      </c>
      <c r="Z203" t="n">
        <v>1052</v>
      </c>
      <c r="AA203" t="n">
        <v>1066</v>
      </c>
      <c r="AB203" t="n">
        <v>9</v>
      </c>
      <c r="AC203" t="n">
        <v>9</v>
      </c>
      <c r="AD203" t="n">
        <v>41</v>
      </c>
      <c r="AE203" t="n">
        <v>42</v>
      </c>
      <c r="AF203" t="n">
        <v>13</v>
      </c>
      <c r="AG203" t="n">
        <v>14</v>
      </c>
      <c r="AH203" t="n">
        <v>6</v>
      </c>
      <c r="AI203" t="n">
        <v>6</v>
      </c>
      <c r="AJ203" t="n">
        <v>17</v>
      </c>
      <c r="AK203" t="n">
        <v>17</v>
      </c>
      <c r="AL203" t="n">
        <v>5</v>
      </c>
      <c r="AM203" t="n">
        <v>5</v>
      </c>
      <c r="AN203" t="n">
        <v>8</v>
      </c>
      <c r="AO203" t="n">
        <v>8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HYPERLINK("http://catalog.hathitrust.org/Record/000044758","HathiTrust Record")</f>
        <v/>
      </c>
      <c r="AS203">
        <f>HYPERLINK("https://creighton-primo.hosted.exlibrisgroup.com/primo-explore/search?tab=default_tab&amp;search_scope=EVERYTHING&amp;vid=01CRU&amp;lang=en_US&amp;offset=0&amp;query=any,contains,991001789009702656","Catalog Record")</f>
        <v/>
      </c>
      <c r="AT203">
        <f>HYPERLINK("http://www.worldcat.org/oclc/1527377","WorldCat Record")</f>
        <v/>
      </c>
    </row>
    <row r="204">
      <c r="A204" t="inlineStr">
        <is>
          <t>No</t>
        </is>
      </c>
      <c r="B204" t="inlineStr">
        <is>
          <t>R726 .B47 2004</t>
        </is>
      </c>
      <c r="C204" t="inlineStr">
        <is>
          <t>0                      R  0726000B  47          2004</t>
        </is>
      </c>
      <c r="D204" t="inlineStr">
        <is>
          <t>Aiming to kill : the ethics of suicide and euthanasia / Nigel Biggar.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Biggar, Nigel.</t>
        </is>
      </c>
      <c r="L204" t="inlineStr">
        <is>
          <t>Cleveland : Pilgrim Press, 2004.</t>
        </is>
      </c>
      <c r="M204" t="inlineStr">
        <is>
          <t>2004</t>
        </is>
      </c>
      <c r="O204" t="inlineStr">
        <is>
          <t>eng</t>
        </is>
      </c>
      <c r="P204" t="inlineStr">
        <is>
          <t>ohu</t>
        </is>
      </c>
      <c r="R204" t="inlineStr">
        <is>
          <t xml:space="preserve">R  </t>
        </is>
      </c>
      <c r="S204" t="n">
        <v>2</v>
      </c>
      <c r="T204" t="n">
        <v>2</v>
      </c>
      <c r="U204" t="inlineStr">
        <is>
          <t>2009-04-27</t>
        </is>
      </c>
      <c r="V204" t="inlineStr">
        <is>
          <t>2009-04-27</t>
        </is>
      </c>
      <c r="W204" t="inlineStr">
        <is>
          <t>2009-04-27</t>
        </is>
      </c>
      <c r="X204" t="inlineStr">
        <is>
          <t>2009-04-27</t>
        </is>
      </c>
      <c r="Y204" t="n">
        <v>216</v>
      </c>
      <c r="Z204" t="n">
        <v>187</v>
      </c>
      <c r="AA204" t="n">
        <v>222</v>
      </c>
      <c r="AB204" t="n">
        <v>1</v>
      </c>
      <c r="AC204" t="n">
        <v>1</v>
      </c>
      <c r="AD204" t="n">
        <v>16</v>
      </c>
      <c r="AE204" t="n">
        <v>17</v>
      </c>
      <c r="AF204" t="n">
        <v>5</v>
      </c>
      <c r="AG204" t="n">
        <v>6</v>
      </c>
      <c r="AH204" t="n">
        <v>5</v>
      </c>
      <c r="AI204" t="n">
        <v>5</v>
      </c>
      <c r="AJ204" t="n">
        <v>9</v>
      </c>
      <c r="AK204" t="n">
        <v>10</v>
      </c>
      <c r="AL204" t="n">
        <v>0</v>
      </c>
      <c r="AM204" t="n">
        <v>0</v>
      </c>
      <c r="AN204" t="n">
        <v>1</v>
      </c>
      <c r="AO204" t="n">
        <v>1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HYPERLINK("http://catalog.hathitrust.org/Record/102035076","HathiTrust Record")</f>
        <v/>
      </c>
      <c r="AS204">
        <f>HYPERLINK("https://creighton-primo.hosted.exlibrisgroup.com/primo-explore/search?tab=default_tab&amp;search_scope=EVERYTHING&amp;vid=01CRU&amp;lang=en_US&amp;offset=0&amp;query=any,contains,991005310889702656","Catalog Record")</f>
        <v/>
      </c>
      <c r="AT204">
        <f>HYPERLINK("http://www.worldcat.org/oclc/56748857","WorldCat Record")</f>
        <v/>
      </c>
    </row>
    <row r="205">
      <c r="A205" t="inlineStr">
        <is>
          <t>No</t>
        </is>
      </c>
      <c r="B205" t="inlineStr">
        <is>
          <t>R726 .C64</t>
        </is>
      </c>
      <c r="C205" t="inlineStr">
        <is>
          <t>0                      R  0726000C  64</t>
        </is>
      </c>
      <c r="D205" t="inlineStr">
        <is>
          <t>Karen Ann Quinlan : dying in the age of eternal life / B. D. Colen.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Colen, B. D.</t>
        </is>
      </c>
      <c r="L205" t="inlineStr">
        <is>
          <t>New York : Nash Pub., c1976.</t>
        </is>
      </c>
      <c r="M205" t="inlineStr">
        <is>
          <t>1976</t>
        </is>
      </c>
      <c r="O205" t="inlineStr">
        <is>
          <t>eng</t>
        </is>
      </c>
      <c r="P205" t="inlineStr">
        <is>
          <t>nyu</t>
        </is>
      </c>
      <c r="R205" t="inlineStr">
        <is>
          <t xml:space="preserve">R  </t>
        </is>
      </c>
      <c r="S205" t="n">
        <v>24</v>
      </c>
      <c r="T205" t="n">
        <v>24</v>
      </c>
      <c r="U205" t="inlineStr">
        <is>
          <t>2005-10-17</t>
        </is>
      </c>
      <c r="V205" t="inlineStr">
        <is>
          <t>2005-10-17</t>
        </is>
      </c>
      <c r="W205" t="inlineStr">
        <is>
          <t>1992-01-14</t>
        </is>
      </c>
      <c r="X205" t="inlineStr">
        <is>
          <t>1992-01-14</t>
        </is>
      </c>
      <c r="Y205" t="n">
        <v>700</v>
      </c>
      <c r="Z205" t="n">
        <v>665</v>
      </c>
      <c r="AA205" t="n">
        <v>667</v>
      </c>
      <c r="AB205" t="n">
        <v>8</v>
      </c>
      <c r="AC205" t="n">
        <v>8</v>
      </c>
      <c r="AD205" t="n">
        <v>19</v>
      </c>
      <c r="AE205" t="n">
        <v>19</v>
      </c>
      <c r="AF205" t="n">
        <v>2</v>
      </c>
      <c r="AG205" t="n">
        <v>2</v>
      </c>
      <c r="AH205" t="n">
        <v>3</v>
      </c>
      <c r="AI205" t="n">
        <v>3</v>
      </c>
      <c r="AJ205" t="n">
        <v>5</v>
      </c>
      <c r="AK205" t="n">
        <v>5</v>
      </c>
      <c r="AL205" t="n">
        <v>4</v>
      </c>
      <c r="AM205" t="n">
        <v>4</v>
      </c>
      <c r="AN205" t="n">
        <v>7</v>
      </c>
      <c r="AO205" t="n">
        <v>7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HYPERLINK("http://catalog.hathitrust.org/Record/000425731","HathiTrust Record")</f>
        <v/>
      </c>
      <c r="AS205">
        <f>HYPERLINK("https://creighton-primo.hosted.exlibrisgroup.com/primo-explore/search?tab=default_tab&amp;search_scope=EVERYTHING&amp;vid=01CRU&amp;lang=en_US&amp;offset=0&amp;query=any,contains,991004159729702656","Catalog Record")</f>
        <v/>
      </c>
      <c r="AT205">
        <f>HYPERLINK("http://www.worldcat.org/oclc/2546796","WorldCat Record")</f>
        <v/>
      </c>
    </row>
    <row r="206">
      <c r="A206" t="inlineStr">
        <is>
          <t>No</t>
        </is>
      </c>
      <c r="B206" t="inlineStr">
        <is>
          <t>R726 .C86 1992</t>
        </is>
      </c>
      <c r="C206" t="inlineStr">
        <is>
          <t>0                      R  0726000C  86          1992</t>
        </is>
      </c>
      <c r="D206" t="inlineStr">
        <is>
          <t>Euthanasia is not the answer : a hospice physician's view / by David Cundiff.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Cundiff, David E.</t>
        </is>
      </c>
      <c r="L206" t="inlineStr">
        <is>
          <t>Totowa, N.J. : Humana Press, c1992.</t>
        </is>
      </c>
      <c r="M206" t="inlineStr">
        <is>
          <t>1992</t>
        </is>
      </c>
      <c r="O206" t="inlineStr">
        <is>
          <t>eng</t>
        </is>
      </c>
      <c r="P206" t="inlineStr">
        <is>
          <t>nju</t>
        </is>
      </c>
      <c r="R206" t="inlineStr">
        <is>
          <t xml:space="preserve">R  </t>
        </is>
      </c>
      <c r="S206" t="n">
        <v>23</v>
      </c>
      <c r="T206" t="n">
        <v>23</v>
      </c>
      <c r="U206" t="inlineStr">
        <is>
          <t>2008-04-06</t>
        </is>
      </c>
      <c r="V206" t="inlineStr">
        <is>
          <t>2008-04-06</t>
        </is>
      </c>
      <c r="W206" t="inlineStr">
        <is>
          <t>1998-12-01</t>
        </is>
      </c>
      <c r="X206" t="inlineStr">
        <is>
          <t>1998-12-01</t>
        </is>
      </c>
      <c r="Y206" t="n">
        <v>1046</v>
      </c>
      <c r="Z206" t="n">
        <v>941</v>
      </c>
      <c r="AA206" t="n">
        <v>955</v>
      </c>
      <c r="AB206" t="n">
        <v>7</v>
      </c>
      <c r="AC206" t="n">
        <v>7</v>
      </c>
      <c r="AD206" t="n">
        <v>26</v>
      </c>
      <c r="AE206" t="n">
        <v>27</v>
      </c>
      <c r="AF206" t="n">
        <v>8</v>
      </c>
      <c r="AG206" t="n">
        <v>9</v>
      </c>
      <c r="AH206" t="n">
        <v>5</v>
      </c>
      <c r="AI206" t="n">
        <v>5</v>
      </c>
      <c r="AJ206" t="n">
        <v>16</v>
      </c>
      <c r="AK206" t="n">
        <v>17</v>
      </c>
      <c r="AL206" t="n">
        <v>3</v>
      </c>
      <c r="AM206" t="n">
        <v>3</v>
      </c>
      <c r="AN206" t="n">
        <v>2</v>
      </c>
      <c r="AO206" t="n">
        <v>2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HYPERLINK("http://catalog.hathitrust.org/Record/002565484","HathiTrust Record")</f>
        <v/>
      </c>
      <c r="AS206">
        <f>HYPERLINK("https://creighton-primo.hosted.exlibrisgroup.com/primo-explore/search?tab=default_tab&amp;search_scope=EVERYTHING&amp;vid=01CRU&amp;lang=en_US&amp;offset=0&amp;query=any,contains,991002036389702656","Catalog Record")</f>
        <v/>
      </c>
      <c r="AT206">
        <f>HYPERLINK("http://www.worldcat.org/oclc/25964400","WorldCat Record")</f>
        <v/>
      </c>
    </row>
    <row r="207">
      <c r="A207" t="inlineStr">
        <is>
          <t>No</t>
        </is>
      </c>
      <c r="B207" t="inlineStr">
        <is>
          <t>R726 .D43</t>
        </is>
      </c>
      <c r="C207" t="inlineStr">
        <is>
          <t>0                      R  0726000D  43</t>
        </is>
      </c>
      <c r="D207" t="inlineStr">
        <is>
          <t>Death and decision / edited by Ernan Mc Mullin.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Boulder, Colo. : Published by Westview Press for the American Association for the Advancement of Science, 1978.</t>
        </is>
      </c>
      <c r="M207" t="inlineStr">
        <is>
          <t>1978</t>
        </is>
      </c>
      <c r="O207" t="inlineStr">
        <is>
          <t>eng</t>
        </is>
      </c>
      <c r="P207" t="inlineStr">
        <is>
          <t>cou</t>
        </is>
      </c>
      <c r="Q207" t="inlineStr">
        <is>
          <t>AAAS selected symposium ; 18</t>
        </is>
      </c>
      <c r="R207" t="inlineStr">
        <is>
          <t xml:space="preserve">R  </t>
        </is>
      </c>
      <c r="S207" t="n">
        <v>27</v>
      </c>
      <c r="T207" t="n">
        <v>27</v>
      </c>
      <c r="U207" t="inlineStr">
        <is>
          <t>2003-12-04</t>
        </is>
      </c>
      <c r="V207" t="inlineStr">
        <is>
          <t>2003-12-04</t>
        </is>
      </c>
      <c r="W207" t="inlineStr">
        <is>
          <t>1991-11-19</t>
        </is>
      </c>
      <c r="X207" t="inlineStr">
        <is>
          <t>1991-11-19</t>
        </is>
      </c>
      <c r="Y207" t="n">
        <v>405</v>
      </c>
      <c r="Z207" t="n">
        <v>345</v>
      </c>
      <c r="AA207" t="n">
        <v>365</v>
      </c>
      <c r="AB207" t="n">
        <v>3</v>
      </c>
      <c r="AC207" t="n">
        <v>3</v>
      </c>
      <c r="AD207" t="n">
        <v>18</v>
      </c>
      <c r="AE207" t="n">
        <v>18</v>
      </c>
      <c r="AF207" t="n">
        <v>2</v>
      </c>
      <c r="AG207" t="n">
        <v>2</v>
      </c>
      <c r="AH207" t="n">
        <v>4</v>
      </c>
      <c r="AI207" t="n">
        <v>4</v>
      </c>
      <c r="AJ207" t="n">
        <v>5</v>
      </c>
      <c r="AK207" t="n">
        <v>5</v>
      </c>
      <c r="AL207" t="n">
        <v>2</v>
      </c>
      <c r="AM207" t="n">
        <v>2</v>
      </c>
      <c r="AN207" t="n">
        <v>8</v>
      </c>
      <c r="AO207" t="n">
        <v>8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HYPERLINK("http://catalog.hathitrust.org/Record/000261991","HathiTrust Record")</f>
        <v/>
      </c>
      <c r="AS207">
        <f>HYPERLINK("https://creighton-primo.hosted.exlibrisgroup.com/primo-explore/search?tab=default_tab&amp;search_scope=EVERYTHING&amp;vid=01CRU&amp;lang=en_US&amp;offset=0&amp;query=any,contains,991004461419702656","Catalog Record")</f>
        <v/>
      </c>
      <c r="AT207">
        <f>HYPERLINK("http://www.worldcat.org/oclc/3543561","WorldCat Record")</f>
        <v/>
      </c>
    </row>
    <row r="208">
      <c r="A208" t="inlineStr">
        <is>
          <t>No</t>
        </is>
      </c>
      <c r="B208" t="inlineStr">
        <is>
          <t>R726 .D53</t>
        </is>
      </c>
      <c r="C208" t="inlineStr">
        <is>
          <t>0                      R  0726000D  53</t>
        </is>
      </c>
      <c r="D208" t="inlineStr">
        <is>
          <t>Dilemmas of dying : a study in the ethics of terminal care / edited by Ian Thompson.</t>
        </is>
      </c>
      <c r="F208" t="inlineStr">
        <is>
          <t>No</t>
        </is>
      </c>
      <c r="G208" t="inlineStr">
        <is>
          <t>1</t>
        </is>
      </c>
      <c r="H208" t="inlineStr">
        <is>
          <t>Yes</t>
        </is>
      </c>
      <c r="I208" t="inlineStr">
        <is>
          <t>No</t>
        </is>
      </c>
      <c r="J208" t="inlineStr">
        <is>
          <t>0</t>
        </is>
      </c>
      <c r="L208" t="inlineStr">
        <is>
          <t>Edinburgh : Edinburgh University Press, c1979.</t>
        </is>
      </c>
      <c r="M208" t="inlineStr">
        <is>
          <t>1979</t>
        </is>
      </c>
      <c r="O208" t="inlineStr">
        <is>
          <t>eng</t>
        </is>
      </c>
      <c r="P208" t="inlineStr">
        <is>
          <t>stk</t>
        </is>
      </c>
      <c r="Q208" t="inlineStr">
        <is>
          <t>Moral issues in health care ; 1</t>
        </is>
      </c>
      <c r="R208" t="inlineStr">
        <is>
          <t xml:space="preserve">R  </t>
        </is>
      </c>
      <c r="S208" t="n">
        <v>33</v>
      </c>
      <c r="T208" t="n">
        <v>41</v>
      </c>
      <c r="U208" t="inlineStr">
        <is>
          <t>2002-04-18</t>
        </is>
      </c>
      <c r="V208" t="inlineStr">
        <is>
          <t>2002-04-18</t>
        </is>
      </c>
      <c r="W208" t="inlineStr">
        <is>
          <t>1991-10-18</t>
        </is>
      </c>
      <c r="X208" t="inlineStr">
        <is>
          <t>1991-10-18</t>
        </is>
      </c>
      <c r="Y208" t="n">
        <v>379</v>
      </c>
      <c r="Z208" t="n">
        <v>244</v>
      </c>
      <c r="AA208" t="n">
        <v>249</v>
      </c>
      <c r="AB208" t="n">
        <v>5</v>
      </c>
      <c r="AC208" t="n">
        <v>5</v>
      </c>
      <c r="AD208" t="n">
        <v>11</v>
      </c>
      <c r="AE208" t="n">
        <v>11</v>
      </c>
      <c r="AF208" t="n">
        <v>3</v>
      </c>
      <c r="AG208" t="n">
        <v>3</v>
      </c>
      <c r="AH208" t="n">
        <v>1</v>
      </c>
      <c r="AI208" t="n">
        <v>1</v>
      </c>
      <c r="AJ208" t="n">
        <v>4</v>
      </c>
      <c r="AK208" t="n">
        <v>4</v>
      </c>
      <c r="AL208" t="n">
        <v>3</v>
      </c>
      <c r="AM208" t="n">
        <v>3</v>
      </c>
      <c r="AN208" t="n">
        <v>1</v>
      </c>
      <c r="AO208" t="n">
        <v>1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HYPERLINK("https://creighton-primo.hosted.exlibrisgroup.com/primo-explore/search?tab=default_tab&amp;search_scope=EVERYTHING&amp;vid=01CRU&amp;lang=en_US&amp;offset=0&amp;query=any,contains,991001789229702656","Catalog Record")</f>
        <v/>
      </c>
      <c r="AT208">
        <f>HYPERLINK("http://www.worldcat.org/oclc/6329029","WorldCat Record")</f>
        <v/>
      </c>
    </row>
    <row r="209">
      <c r="A209" t="inlineStr">
        <is>
          <t>No</t>
        </is>
      </c>
      <c r="B209" t="inlineStr">
        <is>
          <t>R726 .G35 1990</t>
        </is>
      </c>
      <c r="C209" t="inlineStr">
        <is>
          <t>0                      R  0726000G  35          1990</t>
        </is>
      </c>
      <c r="D209" t="inlineStr">
        <is>
          <t>By trust betrayed : patients, physicians, and the license to kill in the Third Reich / Hugh Gregory Gallagher.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Gallagher, Hugh Gregory.</t>
        </is>
      </c>
      <c r="L209" t="inlineStr">
        <is>
          <t>New York : H. Holt, c1990.</t>
        </is>
      </c>
      <c r="M209" t="inlineStr">
        <is>
          <t>1990</t>
        </is>
      </c>
      <c r="N209" t="inlineStr">
        <is>
          <t>1st ed.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R  </t>
        </is>
      </c>
      <c r="S209" t="n">
        <v>17</v>
      </c>
      <c r="T209" t="n">
        <v>17</v>
      </c>
      <c r="U209" t="inlineStr">
        <is>
          <t>2000-03-29</t>
        </is>
      </c>
      <c r="V209" t="inlineStr">
        <is>
          <t>2000-03-29</t>
        </is>
      </c>
      <c r="W209" t="inlineStr">
        <is>
          <t>1991-10-17</t>
        </is>
      </c>
      <c r="X209" t="inlineStr">
        <is>
          <t>1991-10-17</t>
        </is>
      </c>
      <c r="Y209" t="n">
        <v>415</v>
      </c>
      <c r="Z209" t="n">
        <v>378</v>
      </c>
      <c r="AA209" t="n">
        <v>511</v>
      </c>
      <c r="AB209" t="n">
        <v>6</v>
      </c>
      <c r="AC209" t="n">
        <v>7</v>
      </c>
      <c r="AD209" t="n">
        <v>13</v>
      </c>
      <c r="AE209" t="n">
        <v>20</v>
      </c>
      <c r="AF209" t="n">
        <v>4</v>
      </c>
      <c r="AG209" t="n">
        <v>7</v>
      </c>
      <c r="AH209" t="n">
        <v>3</v>
      </c>
      <c r="AI209" t="n">
        <v>3</v>
      </c>
      <c r="AJ209" t="n">
        <v>8</v>
      </c>
      <c r="AK209" t="n">
        <v>12</v>
      </c>
      <c r="AL209" t="n">
        <v>3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HYPERLINK("https://creighton-primo.hosted.exlibrisgroup.com/primo-explore/search?tab=default_tab&amp;search_scope=EVERYTHING&amp;vid=01CRU&amp;lang=en_US&amp;offset=0&amp;query=any,contains,991001498459702656","Catalog Record")</f>
        <v/>
      </c>
      <c r="AT209">
        <f>HYPERLINK("http://www.worldcat.org/oclc/19778112","WorldCat Record")</f>
        <v/>
      </c>
    </row>
    <row r="210">
      <c r="A210" t="inlineStr">
        <is>
          <t>No</t>
        </is>
      </c>
      <c r="B210" t="inlineStr">
        <is>
          <t>R726 .H46 1997</t>
        </is>
      </c>
      <c r="C210" t="inlineStr">
        <is>
          <t>0                      R  0726000H  46          1997</t>
        </is>
      </c>
      <c r="D210" t="inlineStr">
        <is>
          <t>Seduced by death : doctors, patients, and the Dutch cure / Herbert Hendin.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Hendin, Herbert.</t>
        </is>
      </c>
      <c r="L210" t="inlineStr">
        <is>
          <t>New York : W.W. Norton &amp; Co., c1997.</t>
        </is>
      </c>
      <c r="M210" t="inlineStr">
        <is>
          <t>1997</t>
        </is>
      </c>
      <c r="N210" t="inlineStr">
        <is>
          <t>1st ed.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R  </t>
        </is>
      </c>
      <c r="S210" t="n">
        <v>30</v>
      </c>
      <c r="T210" t="n">
        <v>30</v>
      </c>
      <c r="U210" t="inlineStr">
        <is>
          <t>2005-04-07</t>
        </is>
      </c>
      <c r="V210" t="inlineStr">
        <is>
          <t>2005-04-07</t>
        </is>
      </c>
      <c r="W210" t="inlineStr">
        <is>
          <t>1996-11-26</t>
        </is>
      </c>
      <c r="X210" t="inlineStr">
        <is>
          <t>1996-11-26</t>
        </is>
      </c>
      <c r="Y210" t="n">
        <v>847</v>
      </c>
      <c r="Z210" t="n">
        <v>771</v>
      </c>
      <c r="AA210" t="n">
        <v>796</v>
      </c>
      <c r="AB210" t="n">
        <v>5</v>
      </c>
      <c r="AC210" t="n">
        <v>5</v>
      </c>
      <c r="AD210" t="n">
        <v>28</v>
      </c>
      <c r="AE210" t="n">
        <v>28</v>
      </c>
      <c r="AF210" t="n">
        <v>10</v>
      </c>
      <c r="AG210" t="n">
        <v>10</v>
      </c>
      <c r="AH210" t="n">
        <v>4</v>
      </c>
      <c r="AI210" t="n">
        <v>4</v>
      </c>
      <c r="AJ210" t="n">
        <v>15</v>
      </c>
      <c r="AK210" t="n">
        <v>15</v>
      </c>
      <c r="AL210" t="n">
        <v>3</v>
      </c>
      <c r="AM210" t="n">
        <v>3</v>
      </c>
      <c r="AN210" t="n">
        <v>3</v>
      </c>
      <c r="AO210" t="n">
        <v>3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HYPERLINK("https://creighton-primo.hosted.exlibrisgroup.com/primo-explore/search?tab=default_tab&amp;search_scope=EVERYTHING&amp;vid=01CRU&amp;lang=en_US&amp;offset=0&amp;query=any,contains,991002623289702656","Catalog Record")</f>
        <v/>
      </c>
      <c r="AT210">
        <f>HYPERLINK("http://www.worldcat.org/oclc/34357859","WorldCat Record")</f>
        <v/>
      </c>
    </row>
    <row r="211">
      <c r="A211" t="inlineStr">
        <is>
          <t>No</t>
        </is>
      </c>
      <c r="B211" t="inlineStr">
        <is>
          <t>R726 .H85 1984</t>
        </is>
      </c>
      <c r="C211" t="inlineStr">
        <is>
          <t>0                      R  0726000H  85          1984</t>
        </is>
      </c>
      <c r="D211" t="inlineStr">
        <is>
          <t>Let me die before I wake : Hemlock's book of self-deliverance for the dying / Derek Humphry.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Humphry, Derek, 1930-</t>
        </is>
      </c>
      <c r="L211" t="inlineStr">
        <is>
          <t>Los Angeles : Hemlock Society ; New York : Distributed by the Grove Press, 1984.</t>
        </is>
      </c>
      <c r="M211" t="inlineStr">
        <is>
          <t>1984</t>
        </is>
      </c>
      <c r="N211" t="inlineStr">
        <is>
          <t>3rd ed.</t>
        </is>
      </c>
      <c r="O211" t="inlineStr">
        <is>
          <t>eng</t>
        </is>
      </c>
      <c r="P211" t="inlineStr">
        <is>
          <t>cau</t>
        </is>
      </c>
      <c r="R211" t="inlineStr">
        <is>
          <t xml:space="preserve">R  </t>
        </is>
      </c>
      <c r="S211" t="n">
        <v>53</v>
      </c>
      <c r="T211" t="n">
        <v>53</v>
      </c>
      <c r="U211" t="inlineStr">
        <is>
          <t>2006-03-23</t>
        </is>
      </c>
      <c r="V211" t="inlineStr">
        <is>
          <t>2006-03-23</t>
        </is>
      </c>
      <c r="W211" t="inlineStr">
        <is>
          <t>1993-04-20</t>
        </is>
      </c>
      <c r="X211" t="inlineStr">
        <is>
          <t>1993-04-20</t>
        </is>
      </c>
      <c r="Y211" t="n">
        <v>172</v>
      </c>
      <c r="Z211" t="n">
        <v>159</v>
      </c>
      <c r="AA211" t="n">
        <v>637</v>
      </c>
      <c r="AB211" t="n">
        <v>3</v>
      </c>
      <c r="AC211" t="n">
        <v>5</v>
      </c>
      <c r="AD211" t="n">
        <v>4</v>
      </c>
      <c r="AE211" t="n">
        <v>15</v>
      </c>
      <c r="AF211" t="n">
        <v>1</v>
      </c>
      <c r="AG211" t="n">
        <v>6</v>
      </c>
      <c r="AH211" t="n">
        <v>1</v>
      </c>
      <c r="AI211" t="n">
        <v>3</v>
      </c>
      <c r="AJ211" t="n">
        <v>3</v>
      </c>
      <c r="AK211" t="n">
        <v>6</v>
      </c>
      <c r="AL211" t="n">
        <v>1</v>
      </c>
      <c r="AM211" t="n">
        <v>1</v>
      </c>
      <c r="AN211" t="n">
        <v>0</v>
      </c>
      <c r="AO211" t="n">
        <v>3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HYPERLINK("https://creighton-primo.hosted.exlibrisgroup.com/primo-explore/search?tab=default_tab&amp;search_scope=EVERYTHING&amp;vid=01CRU&amp;lang=en_US&amp;offset=0&amp;query=any,contains,991000560979702656","Catalog Record")</f>
        <v/>
      </c>
      <c r="AT211">
        <f>HYPERLINK("http://www.worldcat.org/oclc/11589190","WorldCat Record")</f>
        <v/>
      </c>
    </row>
    <row r="212">
      <c r="A212" t="inlineStr">
        <is>
          <t>No</t>
        </is>
      </c>
      <c r="B212" t="inlineStr">
        <is>
          <t>R726 .H86 1990</t>
        </is>
      </c>
      <c r="C212" t="inlineStr">
        <is>
          <t>0                      R  0726000H  86          1990</t>
        </is>
      </c>
      <c r="D212" t="inlineStr">
        <is>
          <t>The right to die : understanding euthanasia / Derek Humphry, Ann Wickett.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Humphry, Derek, 1930-</t>
        </is>
      </c>
      <c r="L212" t="inlineStr">
        <is>
          <t>Eugene, Oregon : Hemlock Society, 1990, c1986.</t>
        </is>
      </c>
      <c r="M212" t="inlineStr">
        <is>
          <t>1990</t>
        </is>
      </c>
      <c r="N212" t="inlineStr">
        <is>
          <t>1st Hemlock Society ed.</t>
        </is>
      </c>
      <c r="O212" t="inlineStr">
        <is>
          <t>eng</t>
        </is>
      </c>
      <c r="P212" t="inlineStr">
        <is>
          <t>oru</t>
        </is>
      </c>
      <c r="R212" t="inlineStr">
        <is>
          <t xml:space="preserve">R  </t>
        </is>
      </c>
      <c r="S212" t="n">
        <v>73</v>
      </c>
      <c r="T212" t="n">
        <v>73</v>
      </c>
      <c r="U212" t="inlineStr">
        <is>
          <t>2007-09-12</t>
        </is>
      </c>
      <c r="V212" t="inlineStr">
        <is>
          <t>2007-09-12</t>
        </is>
      </c>
      <c r="W212" t="inlineStr">
        <is>
          <t>2000-05-01</t>
        </is>
      </c>
      <c r="X212" t="inlineStr">
        <is>
          <t>2000-05-01</t>
        </is>
      </c>
      <c r="Y212" t="n">
        <v>226</v>
      </c>
      <c r="Z212" t="n">
        <v>206</v>
      </c>
      <c r="AA212" t="n">
        <v>1270</v>
      </c>
      <c r="AB212" t="n">
        <v>1</v>
      </c>
      <c r="AC212" t="n">
        <v>7</v>
      </c>
      <c r="AD212" t="n">
        <v>4</v>
      </c>
      <c r="AE212" t="n">
        <v>34</v>
      </c>
      <c r="AF212" t="n">
        <v>0</v>
      </c>
      <c r="AG212" t="n">
        <v>13</v>
      </c>
      <c r="AH212" t="n">
        <v>1</v>
      </c>
      <c r="AI212" t="n">
        <v>6</v>
      </c>
      <c r="AJ212" t="n">
        <v>1</v>
      </c>
      <c r="AK212" t="n">
        <v>14</v>
      </c>
      <c r="AL212" t="n">
        <v>0</v>
      </c>
      <c r="AM212" t="n">
        <v>3</v>
      </c>
      <c r="AN212" t="n">
        <v>2</v>
      </c>
      <c r="AO212" t="n">
        <v>5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HYPERLINK("https://creighton-primo.hosted.exlibrisgroup.com/primo-explore/search?tab=default_tab&amp;search_scope=EVERYTHING&amp;vid=01CRU&amp;lang=en_US&amp;offset=0&amp;query=any,contains,991001754009702656","Catalog Record")</f>
        <v/>
      </c>
      <c r="AT212">
        <f>HYPERLINK("http://www.worldcat.org/oclc/22205022","WorldCat Record")</f>
        <v/>
      </c>
    </row>
    <row r="213">
      <c r="A213" t="inlineStr">
        <is>
          <t>No</t>
        </is>
      </c>
      <c r="B213" t="inlineStr">
        <is>
          <t>R726 .K63 1974</t>
        </is>
      </c>
      <c r="C213" t="inlineStr">
        <is>
          <t>0                      R  0726000K  63          1974</t>
        </is>
      </c>
      <c r="D213" t="inlineStr">
        <is>
          <t>The morality of killing : sanctity of life, abortion, and euthanasia.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Kohl, Marvin.</t>
        </is>
      </c>
      <c r="L213" t="inlineStr">
        <is>
          <t>New York : Humanities Press, 1974.</t>
        </is>
      </c>
      <c r="M213" t="inlineStr">
        <is>
          <t>1974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R  </t>
        </is>
      </c>
      <c r="S213" t="n">
        <v>28</v>
      </c>
      <c r="T213" t="n">
        <v>28</v>
      </c>
      <c r="U213" t="inlineStr">
        <is>
          <t>2002-04-04</t>
        </is>
      </c>
      <c r="V213" t="inlineStr">
        <is>
          <t>2002-04-04</t>
        </is>
      </c>
      <c r="W213" t="inlineStr">
        <is>
          <t>1992-01-02</t>
        </is>
      </c>
      <c r="X213" t="inlineStr">
        <is>
          <t>1992-01-02</t>
        </is>
      </c>
      <c r="Y213" t="n">
        <v>351</v>
      </c>
      <c r="Z213" t="n">
        <v>313</v>
      </c>
      <c r="AA213" t="n">
        <v>455</v>
      </c>
      <c r="AB213" t="n">
        <v>2</v>
      </c>
      <c r="AC213" t="n">
        <v>3</v>
      </c>
      <c r="AD213" t="n">
        <v>12</v>
      </c>
      <c r="AE213" t="n">
        <v>20</v>
      </c>
      <c r="AF213" t="n">
        <v>2</v>
      </c>
      <c r="AG213" t="n">
        <v>3</v>
      </c>
      <c r="AH213" t="n">
        <v>2</v>
      </c>
      <c r="AI213" t="n">
        <v>2</v>
      </c>
      <c r="AJ213" t="n">
        <v>5</v>
      </c>
      <c r="AK213" t="n">
        <v>7</v>
      </c>
      <c r="AL213" t="n">
        <v>1</v>
      </c>
      <c r="AM213" t="n">
        <v>2</v>
      </c>
      <c r="AN213" t="n">
        <v>4</v>
      </c>
      <c r="AO213" t="n">
        <v>9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HYPERLINK("https://creighton-primo.hosted.exlibrisgroup.com/primo-explore/search?tab=default_tab&amp;search_scope=EVERYTHING&amp;vid=01CRU&amp;lang=en_US&amp;offset=0&amp;query=any,contains,991003214839702656","Catalog Record")</f>
        <v/>
      </c>
      <c r="AT213">
        <f>HYPERLINK("http://www.worldcat.org/oclc/740970","WorldCat Record")</f>
        <v/>
      </c>
    </row>
    <row r="214">
      <c r="A214" t="inlineStr">
        <is>
          <t>No</t>
        </is>
      </c>
      <c r="B214" t="inlineStr">
        <is>
          <t>R726 .L373 1996</t>
        </is>
      </c>
      <c r="C214" t="inlineStr">
        <is>
          <t>0                      R  0726000L  373         1996</t>
        </is>
      </c>
      <c r="D214" t="inlineStr">
        <is>
          <t>Playing God : fifty religions' views on your right to die / by Gerald A. Larue.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Larue, Gerald A.</t>
        </is>
      </c>
      <c r="L214" t="inlineStr">
        <is>
          <t>Wakefield, RI : Moyer Bell, 1996.</t>
        </is>
      </c>
      <c r="M214" t="inlineStr">
        <is>
          <t>1996</t>
        </is>
      </c>
      <c r="O214" t="inlineStr">
        <is>
          <t>eng</t>
        </is>
      </c>
      <c r="P214" t="inlineStr">
        <is>
          <t>riu</t>
        </is>
      </c>
      <c r="R214" t="inlineStr">
        <is>
          <t xml:space="preserve">R  </t>
        </is>
      </c>
      <c r="S214" t="n">
        <v>36</v>
      </c>
      <c r="T214" t="n">
        <v>36</v>
      </c>
      <c r="U214" t="inlineStr">
        <is>
          <t>2009-11-29</t>
        </is>
      </c>
      <c r="V214" t="inlineStr">
        <is>
          <t>2009-11-29</t>
        </is>
      </c>
      <c r="W214" t="inlineStr">
        <is>
          <t>1996-05-29</t>
        </is>
      </c>
      <c r="X214" t="inlineStr">
        <is>
          <t>1996-05-29</t>
        </is>
      </c>
      <c r="Y214" t="n">
        <v>475</v>
      </c>
      <c r="Z214" t="n">
        <v>445</v>
      </c>
      <c r="AA214" t="n">
        <v>456</v>
      </c>
      <c r="AB214" t="n">
        <v>3</v>
      </c>
      <c r="AC214" t="n">
        <v>3</v>
      </c>
      <c r="AD214" t="n">
        <v>10</v>
      </c>
      <c r="AE214" t="n">
        <v>10</v>
      </c>
      <c r="AF214" t="n">
        <v>5</v>
      </c>
      <c r="AG214" t="n">
        <v>5</v>
      </c>
      <c r="AH214" t="n">
        <v>2</v>
      </c>
      <c r="AI214" t="n">
        <v>2</v>
      </c>
      <c r="AJ214" t="n">
        <v>4</v>
      </c>
      <c r="AK214" t="n">
        <v>4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HYPERLINK("http://catalog.hathitrust.org/Record/003032901","HathiTrust Record")</f>
        <v/>
      </c>
      <c r="AS214">
        <f>HYPERLINK("https://creighton-primo.hosted.exlibrisgroup.com/primo-explore/search?tab=default_tab&amp;search_scope=EVERYTHING&amp;vid=01CRU&amp;lang=en_US&amp;offset=0&amp;query=any,contains,991002511439702656","Catalog Record")</f>
        <v/>
      </c>
      <c r="AT214">
        <f>HYPERLINK("http://www.worldcat.org/oclc/32665230","WorldCat Record")</f>
        <v/>
      </c>
    </row>
    <row r="215">
      <c r="A215" t="inlineStr">
        <is>
          <t>No</t>
        </is>
      </c>
      <c r="B215" t="inlineStr">
        <is>
          <t>R726 .M3</t>
        </is>
      </c>
      <c r="C215" t="inlineStr">
        <is>
          <t>0                      R  0726000M  3</t>
        </is>
      </c>
      <c r="D215" t="inlineStr">
        <is>
          <t>Last rights.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Mannes, Marya.</t>
        </is>
      </c>
      <c r="L215" t="inlineStr">
        <is>
          <t>New York : Morrow, 1974 [c1973]</t>
        </is>
      </c>
      <c r="M215" t="inlineStr">
        <is>
          <t>1974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R  </t>
        </is>
      </c>
      <c r="S215" t="n">
        <v>18</v>
      </c>
      <c r="T215" t="n">
        <v>18</v>
      </c>
      <c r="U215" t="inlineStr">
        <is>
          <t>2003-03-20</t>
        </is>
      </c>
      <c r="V215" t="inlineStr">
        <is>
          <t>2003-03-20</t>
        </is>
      </c>
      <c r="W215" t="inlineStr">
        <is>
          <t>1992-02-21</t>
        </is>
      </c>
      <c r="X215" t="inlineStr">
        <is>
          <t>1992-02-21</t>
        </is>
      </c>
      <c r="Y215" t="n">
        <v>1017</v>
      </c>
      <c r="Z215" t="n">
        <v>959</v>
      </c>
      <c r="AA215" t="n">
        <v>1009</v>
      </c>
      <c r="AB215" t="n">
        <v>12</v>
      </c>
      <c r="AC215" t="n">
        <v>12</v>
      </c>
      <c r="AD215" t="n">
        <v>21</v>
      </c>
      <c r="AE215" t="n">
        <v>21</v>
      </c>
      <c r="AF215" t="n">
        <v>7</v>
      </c>
      <c r="AG215" t="n">
        <v>7</v>
      </c>
      <c r="AH215" t="n">
        <v>3</v>
      </c>
      <c r="AI215" t="n">
        <v>3</v>
      </c>
      <c r="AJ215" t="n">
        <v>11</v>
      </c>
      <c r="AK215" t="n">
        <v>11</v>
      </c>
      <c r="AL215" t="n">
        <v>3</v>
      </c>
      <c r="AM215" t="n">
        <v>3</v>
      </c>
      <c r="AN215" t="n">
        <v>3</v>
      </c>
      <c r="AO215" t="n">
        <v>3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HYPERLINK("http://catalog.hathitrust.org/Record/001557858","HathiTrust Record")</f>
        <v/>
      </c>
      <c r="AS215">
        <f>HYPERLINK("https://creighton-primo.hosted.exlibrisgroup.com/primo-explore/search?tab=default_tab&amp;search_scope=EVERYTHING&amp;vid=01CRU&amp;lang=en_US&amp;offset=0&amp;query=any,contains,991003116839702656","Catalog Record")</f>
        <v/>
      </c>
      <c r="AT215">
        <f>HYPERLINK("http://www.worldcat.org/oclc/662190","WorldCat Record")</f>
        <v/>
      </c>
    </row>
    <row r="216">
      <c r="A216" t="inlineStr">
        <is>
          <t>No</t>
        </is>
      </c>
      <c r="B216" t="inlineStr">
        <is>
          <t>R726 .M87 1996</t>
        </is>
      </c>
      <c r="C216" t="inlineStr">
        <is>
          <t>0                      R  0726000M  87          1996</t>
        </is>
      </c>
      <c r="D216" t="inlineStr">
        <is>
          <t>Must we suffer our way to death? : cultural and theological perspectives on death by choice / edited by Ronald P. Hamel, Edwin R. DuBose.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Dallas, Tex. : Southern Methodist University Press, 1996.</t>
        </is>
      </c>
      <c r="M216" t="inlineStr">
        <is>
          <t>1996</t>
        </is>
      </c>
      <c r="N216" t="inlineStr">
        <is>
          <t>1st ed.</t>
        </is>
      </c>
      <c r="O216" t="inlineStr">
        <is>
          <t>eng</t>
        </is>
      </c>
      <c r="P216" t="inlineStr">
        <is>
          <t>txu</t>
        </is>
      </c>
      <c r="R216" t="inlineStr">
        <is>
          <t xml:space="preserve">R  </t>
        </is>
      </c>
      <c r="S216" t="n">
        <v>23</v>
      </c>
      <c r="T216" t="n">
        <v>23</v>
      </c>
      <c r="U216" t="inlineStr">
        <is>
          <t>2009-11-29</t>
        </is>
      </c>
      <c r="V216" t="inlineStr">
        <is>
          <t>2009-11-29</t>
        </is>
      </c>
      <c r="W216" t="inlineStr">
        <is>
          <t>1999-09-13</t>
        </is>
      </c>
      <c r="X216" t="inlineStr">
        <is>
          <t>1999-09-13</t>
        </is>
      </c>
      <c r="Y216" t="n">
        <v>390</v>
      </c>
      <c r="Z216" t="n">
        <v>343</v>
      </c>
      <c r="AA216" t="n">
        <v>349</v>
      </c>
      <c r="AB216" t="n">
        <v>1</v>
      </c>
      <c r="AC216" t="n">
        <v>1</v>
      </c>
      <c r="AD216" t="n">
        <v>25</v>
      </c>
      <c r="AE216" t="n">
        <v>25</v>
      </c>
      <c r="AF216" t="n">
        <v>10</v>
      </c>
      <c r="AG216" t="n">
        <v>10</v>
      </c>
      <c r="AH216" t="n">
        <v>6</v>
      </c>
      <c r="AI216" t="n">
        <v>6</v>
      </c>
      <c r="AJ216" t="n">
        <v>15</v>
      </c>
      <c r="AK216" t="n">
        <v>15</v>
      </c>
      <c r="AL216" t="n">
        <v>0</v>
      </c>
      <c r="AM216" t="n">
        <v>0</v>
      </c>
      <c r="AN216" t="n">
        <v>2</v>
      </c>
      <c r="AO216" t="n">
        <v>2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HYPERLINK("http://catalog.hathitrust.org/Record/003091626","HathiTrust Record")</f>
        <v/>
      </c>
      <c r="AS216">
        <f>HYPERLINK("https://creighton-primo.hosted.exlibrisgroup.com/primo-explore/search?tab=default_tab&amp;search_scope=EVERYTHING&amp;vid=01CRU&amp;lang=en_US&amp;offset=0&amp;query=any,contains,991002633539702656","Catalog Record")</f>
        <v/>
      </c>
      <c r="AT216">
        <f>HYPERLINK("http://www.worldcat.org/oclc/34515011","WorldCat Record")</f>
        <v/>
      </c>
    </row>
    <row r="217">
      <c r="A217" t="inlineStr">
        <is>
          <t>No</t>
        </is>
      </c>
      <c r="B217" t="inlineStr">
        <is>
          <t>R726 .Q55 1996</t>
        </is>
      </c>
      <c r="C217" t="inlineStr">
        <is>
          <t>0                      R  0726000Q  55          1996</t>
        </is>
      </c>
      <c r="D217" t="inlineStr">
        <is>
          <t>A midwife through the dying process : stories of healing and hard choices at the end of life / Timothy E. Quill.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Quill, Timothy E.</t>
        </is>
      </c>
      <c r="L217" t="inlineStr">
        <is>
          <t>Baltimore : Johns Hopkins University Press, 1996.</t>
        </is>
      </c>
      <c r="M217" t="inlineStr">
        <is>
          <t>1996</t>
        </is>
      </c>
      <c r="O217" t="inlineStr">
        <is>
          <t>eng</t>
        </is>
      </c>
      <c r="P217" t="inlineStr">
        <is>
          <t>mdu</t>
        </is>
      </c>
      <c r="R217" t="inlineStr">
        <is>
          <t xml:space="preserve">R  </t>
        </is>
      </c>
      <c r="S217" t="n">
        <v>12</v>
      </c>
      <c r="T217" t="n">
        <v>12</v>
      </c>
      <c r="U217" t="inlineStr">
        <is>
          <t>2006-12-11</t>
        </is>
      </c>
      <c r="V217" t="inlineStr">
        <is>
          <t>2006-12-11</t>
        </is>
      </c>
      <c r="W217" t="inlineStr">
        <is>
          <t>1997-02-12</t>
        </is>
      </c>
      <c r="X217" t="inlineStr">
        <is>
          <t>1997-02-12</t>
        </is>
      </c>
      <c r="Y217" t="n">
        <v>461</v>
      </c>
      <c r="Z217" t="n">
        <v>411</v>
      </c>
      <c r="AA217" t="n">
        <v>418</v>
      </c>
      <c r="AB217" t="n">
        <v>3</v>
      </c>
      <c r="AC217" t="n">
        <v>3</v>
      </c>
      <c r="AD217" t="n">
        <v>17</v>
      </c>
      <c r="AE217" t="n">
        <v>17</v>
      </c>
      <c r="AF217" t="n">
        <v>5</v>
      </c>
      <c r="AG217" t="n">
        <v>5</v>
      </c>
      <c r="AH217" t="n">
        <v>4</v>
      </c>
      <c r="AI217" t="n">
        <v>4</v>
      </c>
      <c r="AJ217" t="n">
        <v>12</v>
      </c>
      <c r="AK217" t="n">
        <v>12</v>
      </c>
      <c r="AL217" t="n">
        <v>2</v>
      </c>
      <c r="AM217" t="n">
        <v>2</v>
      </c>
      <c r="AN217" t="n">
        <v>1</v>
      </c>
      <c r="AO217" t="n">
        <v>1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HYPERLINK("http://catalog.hathitrust.org/Record/003115728","HathiTrust Record")</f>
        <v/>
      </c>
      <c r="AS217">
        <f>HYPERLINK("https://creighton-primo.hosted.exlibrisgroup.com/primo-explore/search?tab=default_tab&amp;search_scope=EVERYTHING&amp;vid=01CRU&amp;lang=en_US&amp;offset=0&amp;query=any,contains,991002679609702656","Catalog Record")</f>
        <v/>
      </c>
      <c r="AT217">
        <f>HYPERLINK("http://www.worldcat.org/oclc/35025786","WorldCat Record")</f>
        <v/>
      </c>
    </row>
    <row r="218">
      <c r="A218" t="inlineStr">
        <is>
          <t>No</t>
        </is>
      </c>
      <c r="B218" t="inlineStr">
        <is>
          <t>R726 .R33 1986</t>
        </is>
      </c>
      <c r="C218" t="inlineStr">
        <is>
          <t>0                      R  0726000R  33          1986</t>
        </is>
      </c>
      <c r="D218" t="inlineStr">
        <is>
          <t>The end of life : euthanasia and morality / James Rachels.</t>
        </is>
      </c>
      <c r="F218" t="inlineStr">
        <is>
          <t>No</t>
        </is>
      </c>
      <c r="G218" t="inlineStr">
        <is>
          <t>1</t>
        </is>
      </c>
      <c r="H218" t="inlineStr">
        <is>
          <t>Yes</t>
        </is>
      </c>
      <c r="I218" t="inlineStr">
        <is>
          <t>No</t>
        </is>
      </c>
      <c r="J218" t="inlineStr">
        <is>
          <t>0</t>
        </is>
      </c>
      <c r="K218" t="inlineStr">
        <is>
          <t>Rachels, James, 1941-2003.</t>
        </is>
      </c>
      <c r="L218" t="inlineStr">
        <is>
          <t>Oxford [Oxfordshire] ; New York : Oxford University Press, 1986.</t>
        </is>
      </c>
      <c r="M218" t="inlineStr">
        <is>
          <t>1986</t>
        </is>
      </c>
      <c r="O218" t="inlineStr">
        <is>
          <t>eng</t>
        </is>
      </c>
      <c r="P218" t="inlineStr">
        <is>
          <t>enk</t>
        </is>
      </c>
      <c r="Q218" t="inlineStr">
        <is>
          <t>Studies in bioethics</t>
        </is>
      </c>
      <c r="R218" t="inlineStr">
        <is>
          <t xml:space="preserve">R  </t>
        </is>
      </c>
      <c r="S218" t="n">
        <v>86</v>
      </c>
      <c r="T218" t="n">
        <v>98</v>
      </c>
      <c r="U218" t="inlineStr">
        <is>
          <t>2010-11-19</t>
        </is>
      </c>
      <c r="V218" t="inlineStr">
        <is>
          <t>2010-11-19</t>
        </is>
      </c>
      <c r="W218" t="inlineStr">
        <is>
          <t>1991-10-28</t>
        </is>
      </c>
      <c r="X218" t="inlineStr">
        <is>
          <t>1995-03-06</t>
        </is>
      </c>
      <c r="Y218" t="n">
        <v>1197</v>
      </c>
      <c r="Z218" t="n">
        <v>968</v>
      </c>
      <c r="AA218" t="n">
        <v>981</v>
      </c>
      <c r="AB218" t="n">
        <v>9</v>
      </c>
      <c r="AC218" t="n">
        <v>9</v>
      </c>
      <c r="AD218" t="n">
        <v>50</v>
      </c>
      <c r="AE218" t="n">
        <v>50</v>
      </c>
      <c r="AF218" t="n">
        <v>16</v>
      </c>
      <c r="AG218" t="n">
        <v>16</v>
      </c>
      <c r="AH218" t="n">
        <v>7</v>
      </c>
      <c r="AI218" t="n">
        <v>7</v>
      </c>
      <c r="AJ218" t="n">
        <v>18</v>
      </c>
      <c r="AK218" t="n">
        <v>18</v>
      </c>
      <c r="AL218" t="n">
        <v>5</v>
      </c>
      <c r="AM218" t="n">
        <v>5</v>
      </c>
      <c r="AN218" t="n">
        <v>13</v>
      </c>
      <c r="AO218" t="n">
        <v>13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HYPERLINK("http://catalog.hathitrust.org/Record/000385566","HathiTrust Record")</f>
        <v/>
      </c>
      <c r="AS218">
        <f>HYPERLINK("https://creighton-primo.hosted.exlibrisgroup.com/primo-explore/search?tab=default_tab&amp;search_scope=EVERYTHING&amp;vid=01CRU&amp;lang=en_US&amp;offset=0&amp;query=any,contains,991001630819702656","Catalog Record")</f>
        <v/>
      </c>
      <c r="AT218">
        <f>HYPERLINK("http://www.worldcat.org/oclc/12285487","WorldCat Record")</f>
        <v/>
      </c>
    </row>
    <row r="219">
      <c r="A219" t="inlineStr">
        <is>
          <t>No</t>
        </is>
      </c>
      <c r="B219" t="inlineStr">
        <is>
          <t>R726 .R5 1974</t>
        </is>
      </c>
      <c r="C219" t="inlineStr">
        <is>
          <t>0                      R  0726000R  5           1974</t>
        </is>
      </c>
      <c r="D219" t="inlineStr">
        <is>
          <t>The Right to die : decision and decision makers.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New York : J. Aronson, [1974, c1973]</t>
        </is>
      </c>
      <c r="M219" t="inlineStr">
        <is>
          <t>1974</t>
        </is>
      </c>
      <c r="O219" t="inlineStr">
        <is>
          <t>eng</t>
        </is>
      </c>
      <c r="P219" t="inlineStr">
        <is>
          <t>nyu</t>
        </is>
      </c>
      <c r="R219" t="inlineStr">
        <is>
          <t xml:space="preserve">R  </t>
        </is>
      </c>
      <c r="S219" t="n">
        <v>64</v>
      </c>
      <c r="T219" t="n">
        <v>64</v>
      </c>
      <c r="U219" t="inlineStr">
        <is>
          <t>2010-11-19</t>
        </is>
      </c>
      <c r="V219" t="inlineStr">
        <is>
          <t>2010-11-19</t>
        </is>
      </c>
      <c r="W219" t="inlineStr">
        <is>
          <t>1994-02-23</t>
        </is>
      </c>
      <c r="X219" t="inlineStr">
        <is>
          <t>1994-02-23</t>
        </is>
      </c>
      <c r="Y219" t="n">
        <v>282</v>
      </c>
      <c r="Z219" t="n">
        <v>244</v>
      </c>
      <c r="AA219" t="n">
        <v>282</v>
      </c>
      <c r="AB219" t="n">
        <v>1</v>
      </c>
      <c r="AC219" t="n">
        <v>2</v>
      </c>
      <c r="AD219" t="n">
        <v>7</v>
      </c>
      <c r="AE219" t="n">
        <v>7</v>
      </c>
      <c r="AF219" t="n">
        <v>2</v>
      </c>
      <c r="AG219" t="n">
        <v>2</v>
      </c>
      <c r="AH219" t="n">
        <v>1</v>
      </c>
      <c r="AI219" t="n">
        <v>1</v>
      </c>
      <c r="AJ219" t="n">
        <v>6</v>
      </c>
      <c r="AK219" t="n">
        <v>6</v>
      </c>
      <c r="AL219" t="n">
        <v>0</v>
      </c>
      <c r="AM219" t="n">
        <v>0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HYPERLINK("http://catalog.hathitrust.org/Record/000012914","HathiTrust Record")</f>
        <v/>
      </c>
      <c r="AS219">
        <f>HYPERLINK("https://creighton-primo.hosted.exlibrisgroup.com/primo-explore/search?tab=default_tab&amp;search_scope=EVERYTHING&amp;vid=01CRU&amp;lang=en_US&amp;offset=0&amp;query=any,contains,991003316499702656","Catalog Record")</f>
        <v/>
      </c>
      <c r="AT219">
        <f>HYPERLINK("http://www.worldcat.org/oclc/841333","WorldCat Record")</f>
        <v/>
      </c>
    </row>
    <row r="220">
      <c r="A220" t="inlineStr">
        <is>
          <t>No</t>
        </is>
      </c>
      <c r="B220" t="inlineStr">
        <is>
          <t>R726 .R53 2008</t>
        </is>
      </c>
      <c r="C220" t="inlineStr">
        <is>
          <t>0                      R  0726000R  53          2008</t>
        </is>
      </c>
      <c r="D220" t="inlineStr">
        <is>
          <t>Euthanasia : a reference handbook / Jennifer Fecio McDougall, Martha Gorman.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McDougall, Jennifer Fecio.</t>
        </is>
      </c>
      <c r="L220" t="inlineStr">
        <is>
          <t>Santa Barbara, Calif. : ABC-CLIO, 2008.</t>
        </is>
      </c>
      <c r="M220" t="inlineStr">
        <is>
          <t>2008</t>
        </is>
      </c>
      <c r="N220" t="inlineStr">
        <is>
          <t>2nd ed.</t>
        </is>
      </c>
      <c r="O220" t="inlineStr">
        <is>
          <t>eng</t>
        </is>
      </c>
      <c r="P220" t="inlineStr">
        <is>
          <t>cau</t>
        </is>
      </c>
      <c r="Q220" t="inlineStr">
        <is>
          <t>ABC-CLIO's contemporary world issues</t>
        </is>
      </c>
      <c r="R220" t="inlineStr">
        <is>
          <t xml:space="preserve">R  </t>
        </is>
      </c>
      <c r="S220" t="n">
        <v>7</v>
      </c>
      <c r="T220" t="n">
        <v>7</v>
      </c>
      <c r="U220" t="inlineStr">
        <is>
          <t>2010-12-01</t>
        </is>
      </c>
      <c r="V220" t="inlineStr">
        <is>
          <t>2010-12-01</t>
        </is>
      </c>
      <c r="W220" t="inlineStr">
        <is>
          <t>2008-01-08</t>
        </is>
      </c>
      <c r="X220" t="inlineStr">
        <is>
          <t>2008-01-08</t>
        </is>
      </c>
      <c r="Y220" t="n">
        <v>559</v>
      </c>
      <c r="Z220" t="n">
        <v>530</v>
      </c>
      <c r="AA220" t="n">
        <v>2026</v>
      </c>
      <c r="AB220" t="n">
        <v>2</v>
      </c>
      <c r="AC220" t="n">
        <v>11</v>
      </c>
      <c r="AD220" t="n">
        <v>15</v>
      </c>
      <c r="AE220" t="n">
        <v>46</v>
      </c>
      <c r="AF220" t="n">
        <v>9</v>
      </c>
      <c r="AG220" t="n">
        <v>22</v>
      </c>
      <c r="AH220" t="n">
        <v>3</v>
      </c>
      <c r="AI220" t="n">
        <v>9</v>
      </c>
      <c r="AJ220" t="n">
        <v>7</v>
      </c>
      <c r="AK220" t="n">
        <v>17</v>
      </c>
      <c r="AL220" t="n">
        <v>1</v>
      </c>
      <c r="AM220" t="n">
        <v>9</v>
      </c>
      <c r="AN220" t="n">
        <v>0</v>
      </c>
      <c r="AO220" t="n">
        <v>1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HYPERLINK("https://creighton-primo.hosted.exlibrisgroup.com/primo-explore/search?tab=default_tab&amp;search_scope=EVERYTHING&amp;vid=01CRU&amp;lang=en_US&amp;offset=0&amp;query=any,contains,991005159339702656","Catalog Record")</f>
        <v/>
      </c>
      <c r="AT220">
        <f>HYPERLINK("http://www.worldcat.org/oclc/145940290","WorldCat Record")</f>
        <v/>
      </c>
    </row>
    <row r="221">
      <c r="A221" t="inlineStr">
        <is>
          <t>No</t>
        </is>
      </c>
      <c r="B221" t="inlineStr">
        <is>
          <t>R726 .S526 1995</t>
        </is>
      </c>
      <c r="C221" t="inlineStr">
        <is>
          <t>0                      R  0726000S  526         1995</t>
        </is>
      </c>
      <c r="D221" t="inlineStr">
        <is>
          <t>A chosen death : the dying confront assisted suicide / by Lonny Shavelson ; photographs by Lonny Shavelson.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Shavelson, Lonny.</t>
        </is>
      </c>
      <c r="L221" t="inlineStr">
        <is>
          <t>New York, NY : Simon &amp; Schuster, c1995.</t>
        </is>
      </c>
      <c r="M221" t="inlineStr">
        <is>
          <t>1995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R  </t>
        </is>
      </c>
      <c r="S221" t="n">
        <v>37</v>
      </c>
      <c r="T221" t="n">
        <v>37</v>
      </c>
      <c r="U221" t="inlineStr">
        <is>
          <t>2003-12-04</t>
        </is>
      </c>
      <c r="V221" t="inlineStr">
        <is>
          <t>2003-12-04</t>
        </is>
      </c>
      <c r="W221" t="inlineStr">
        <is>
          <t>1995-11-03</t>
        </is>
      </c>
      <c r="X221" t="inlineStr">
        <is>
          <t>1995-11-03</t>
        </is>
      </c>
      <c r="Y221" t="n">
        <v>925</v>
      </c>
      <c r="Z221" t="n">
        <v>840</v>
      </c>
      <c r="AA221" t="n">
        <v>968</v>
      </c>
      <c r="AB221" t="n">
        <v>7</v>
      </c>
      <c r="AC221" t="n">
        <v>7</v>
      </c>
      <c r="AD221" t="n">
        <v>24</v>
      </c>
      <c r="AE221" t="n">
        <v>25</v>
      </c>
      <c r="AF221" t="n">
        <v>5</v>
      </c>
      <c r="AG221" t="n">
        <v>5</v>
      </c>
      <c r="AH221" t="n">
        <v>5</v>
      </c>
      <c r="AI221" t="n">
        <v>5</v>
      </c>
      <c r="AJ221" t="n">
        <v>12</v>
      </c>
      <c r="AK221" t="n">
        <v>13</v>
      </c>
      <c r="AL221" t="n">
        <v>3</v>
      </c>
      <c r="AM221" t="n">
        <v>3</v>
      </c>
      <c r="AN221" t="n">
        <v>4</v>
      </c>
      <c r="AO221" t="n">
        <v>4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HYPERLINK("http://catalog.hathitrust.org/Record/002979279","HathiTrust Record")</f>
        <v/>
      </c>
      <c r="AS221">
        <f>HYPERLINK("https://creighton-primo.hosted.exlibrisgroup.com/primo-explore/search?tab=default_tab&amp;search_scope=EVERYTHING&amp;vid=01CRU&amp;lang=en_US&amp;offset=0&amp;query=any,contains,991002465689702656","Catalog Record")</f>
        <v/>
      </c>
      <c r="AT221">
        <f>HYPERLINK("http://www.worldcat.org/oclc/32131512","WorldCat Record")</f>
        <v/>
      </c>
    </row>
    <row r="222">
      <c r="A222" t="inlineStr">
        <is>
          <t>No</t>
        </is>
      </c>
      <c r="B222" t="inlineStr">
        <is>
          <t>R726 .T74</t>
        </is>
      </c>
      <c r="C222" t="inlineStr">
        <is>
          <t>0                      R  0726000T  74</t>
        </is>
      </c>
      <c r="D222" t="inlineStr">
        <is>
          <t>The euthanasia controversy, 1812-1974 : a bibliography with select annotations / by Charles W. Triche III and Diane Samson Triche.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Triche, Charles W., III</t>
        </is>
      </c>
      <c r="L222" t="inlineStr">
        <is>
          <t>Troy, N.Y. : Whitston Pub. Co., 1975.</t>
        </is>
      </c>
      <c r="M222" t="inlineStr">
        <is>
          <t>1975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R  </t>
        </is>
      </c>
      <c r="S222" t="n">
        <v>34</v>
      </c>
      <c r="T222" t="n">
        <v>34</v>
      </c>
      <c r="U222" t="inlineStr">
        <is>
          <t>2003-04-18</t>
        </is>
      </c>
      <c r="V222" t="inlineStr">
        <is>
          <t>2003-04-18</t>
        </is>
      </c>
      <c r="W222" t="inlineStr">
        <is>
          <t>1995-02-28</t>
        </is>
      </c>
      <c r="X222" t="inlineStr">
        <is>
          <t>1995-02-28</t>
        </is>
      </c>
      <c r="Y222" t="n">
        <v>655</v>
      </c>
      <c r="Z222" t="n">
        <v>574</v>
      </c>
      <c r="AA222" t="n">
        <v>582</v>
      </c>
      <c r="AB222" t="n">
        <v>6</v>
      </c>
      <c r="AC222" t="n">
        <v>6</v>
      </c>
      <c r="AD222" t="n">
        <v>32</v>
      </c>
      <c r="AE222" t="n">
        <v>32</v>
      </c>
      <c r="AF222" t="n">
        <v>8</v>
      </c>
      <c r="AG222" t="n">
        <v>8</v>
      </c>
      <c r="AH222" t="n">
        <v>6</v>
      </c>
      <c r="AI222" t="n">
        <v>6</v>
      </c>
      <c r="AJ222" t="n">
        <v>16</v>
      </c>
      <c r="AK222" t="n">
        <v>16</v>
      </c>
      <c r="AL222" t="n">
        <v>5</v>
      </c>
      <c r="AM222" t="n">
        <v>5</v>
      </c>
      <c r="AN222" t="n">
        <v>5</v>
      </c>
      <c r="AO222" t="n">
        <v>5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HYPERLINK("http://catalog.hathitrust.org/Record/000024621","HathiTrust Record")</f>
        <v/>
      </c>
      <c r="AS222">
        <f>HYPERLINK("https://creighton-primo.hosted.exlibrisgroup.com/primo-explore/search?tab=default_tab&amp;search_scope=EVERYTHING&amp;vid=01CRU&amp;lang=en_US&amp;offset=0&amp;query=any,contains,991003815939702656","Catalog Record")</f>
        <v/>
      </c>
      <c r="AT222">
        <f>HYPERLINK("http://www.worldcat.org/oclc/1548797","WorldCat Record")</f>
        <v/>
      </c>
    </row>
    <row r="223">
      <c r="A223" t="inlineStr">
        <is>
          <t>No</t>
        </is>
      </c>
      <c r="B223" t="inlineStr">
        <is>
          <t>R726 .V4</t>
        </is>
      </c>
      <c r="C223" t="inlineStr">
        <is>
          <t>0                      R  0726000V  4</t>
        </is>
      </c>
      <c r="D223" t="inlineStr">
        <is>
          <t>Death, dying, and the biological revolution : our last quest for responsibility / Robert M. Veatch.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Yes</t>
        </is>
      </c>
      <c r="J223" t="inlineStr">
        <is>
          <t>0</t>
        </is>
      </c>
      <c r="K223" t="inlineStr">
        <is>
          <t>Veatch, Robert M.</t>
        </is>
      </c>
      <c r="L223" t="inlineStr">
        <is>
          <t>New Haven : Yale University Press, 1976.</t>
        </is>
      </c>
      <c r="M223" t="inlineStr">
        <is>
          <t>1976</t>
        </is>
      </c>
      <c r="O223" t="inlineStr">
        <is>
          <t>eng</t>
        </is>
      </c>
      <c r="P223" t="inlineStr">
        <is>
          <t>ctu</t>
        </is>
      </c>
      <c r="R223" t="inlineStr">
        <is>
          <t xml:space="preserve">R  </t>
        </is>
      </c>
      <c r="S223" t="n">
        <v>44</v>
      </c>
      <c r="T223" t="n">
        <v>44</v>
      </c>
      <c r="U223" t="inlineStr">
        <is>
          <t>2003-04-23</t>
        </is>
      </c>
      <c r="V223" t="inlineStr">
        <is>
          <t>2003-04-23</t>
        </is>
      </c>
      <c r="W223" t="inlineStr">
        <is>
          <t>1990-11-30</t>
        </is>
      </c>
      <c r="X223" t="inlineStr">
        <is>
          <t>1990-11-30</t>
        </is>
      </c>
      <c r="Y223" t="n">
        <v>1413</v>
      </c>
      <c r="Z223" t="n">
        <v>1242</v>
      </c>
      <c r="AA223" t="n">
        <v>1468</v>
      </c>
      <c r="AB223" t="n">
        <v>9</v>
      </c>
      <c r="AC223" t="n">
        <v>11</v>
      </c>
      <c r="AD223" t="n">
        <v>49</v>
      </c>
      <c r="AE223" t="n">
        <v>64</v>
      </c>
      <c r="AF223" t="n">
        <v>12</v>
      </c>
      <c r="AG223" t="n">
        <v>18</v>
      </c>
      <c r="AH223" t="n">
        <v>8</v>
      </c>
      <c r="AI223" t="n">
        <v>9</v>
      </c>
      <c r="AJ223" t="n">
        <v>19</v>
      </c>
      <c r="AK223" t="n">
        <v>25</v>
      </c>
      <c r="AL223" t="n">
        <v>5</v>
      </c>
      <c r="AM223" t="n">
        <v>6</v>
      </c>
      <c r="AN223" t="n">
        <v>12</v>
      </c>
      <c r="AO223" t="n">
        <v>17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HYPERLINK("https://creighton-primo.hosted.exlibrisgroup.com/primo-explore/search?tab=default_tab&amp;search_scope=EVERYTHING&amp;vid=01CRU&amp;lang=en_US&amp;offset=0&amp;query=any,contains,991005314379702656","Catalog Record")</f>
        <v/>
      </c>
      <c r="AT223">
        <f>HYPERLINK("http://www.worldcat.org/oclc/2553227","WorldCat Record")</f>
        <v/>
      </c>
    </row>
    <row r="224">
      <c r="A224" t="inlineStr">
        <is>
          <t>No</t>
        </is>
      </c>
      <c r="B224" t="inlineStr">
        <is>
          <t>R726. B37</t>
        </is>
      </c>
      <c r="C224" t="inlineStr">
        <is>
          <t>0                      R  0726000B  37</t>
        </is>
      </c>
      <c r="D224" t="inlineStr">
        <is>
          <t>Good life/good death : a doctor's case for euthanasia and suicide / by Christiaan Barnard.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Barnard, Christiaan, 1922-2001.</t>
        </is>
      </c>
      <c r="L224" t="inlineStr">
        <is>
          <t>Englewood Cliffs, N.J. : Prentice-Hall, 1980.</t>
        </is>
      </c>
      <c r="M224" t="inlineStr">
        <is>
          <t>1980</t>
        </is>
      </c>
      <c r="O224" t="inlineStr">
        <is>
          <t>eng</t>
        </is>
      </c>
      <c r="P224" t="inlineStr">
        <is>
          <t>nju</t>
        </is>
      </c>
      <c r="R224" t="inlineStr">
        <is>
          <t xml:space="preserve">R  </t>
        </is>
      </c>
      <c r="S224" t="n">
        <v>49</v>
      </c>
      <c r="T224" t="n">
        <v>49</v>
      </c>
      <c r="U224" t="inlineStr">
        <is>
          <t>2008-04-06</t>
        </is>
      </c>
      <c r="V224" t="inlineStr">
        <is>
          <t>2008-04-06</t>
        </is>
      </c>
      <c r="W224" t="inlineStr">
        <is>
          <t>1991-04-08</t>
        </is>
      </c>
      <c r="X224" t="inlineStr">
        <is>
          <t>1991-04-08</t>
        </is>
      </c>
      <c r="Y224" t="n">
        <v>979</v>
      </c>
      <c r="Z224" t="n">
        <v>892</v>
      </c>
      <c r="AA224" t="n">
        <v>900</v>
      </c>
      <c r="AB224" t="n">
        <v>3</v>
      </c>
      <c r="AC224" t="n">
        <v>3</v>
      </c>
      <c r="AD224" t="n">
        <v>11</v>
      </c>
      <c r="AE224" t="n">
        <v>12</v>
      </c>
      <c r="AF224" t="n">
        <v>4</v>
      </c>
      <c r="AG224" t="n">
        <v>5</v>
      </c>
      <c r="AH224" t="n">
        <v>4</v>
      </c>
      <c r="AI224" t="n">
        <v>4</v>
      </c>
      <c r="AJ224" t="n">
        <v>6</v>
      </c>
      <c r="AK224" t="n">
        <v>7</v>
      </c>
      <c r="AL224" t="n">
        <v>0</v>
      </c>
      <c r="AM224" t="n">
        <v>0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HYPERLINK("http://catalog.hathitrust.org/Record/000743290","HathiTrust Record")</f>
        <v/>
      </c>
      <c r="AS224">
        <f>HYPERLINK("https://creighton-primo.hosted.exlibrisgroup.com/primo-explore/search?tab=default_tab&amp;search_scope=EVERYTHING&amp;vid=01CRU&amp;lang=en_US&amp;offset=0&amp;query=any,contains,991004998499702656","Catalog Record")</f>
        <v/>
      </c>
      <c r="AT224">
        <f>HYPERLINK("http://www.worldcat.org/oclc/6532555","WorldCat Record")</f>
        <v/>
      </c>
    </row>
    <row r="225">
      <c r="A225" t="inlineStr">
        <is>
          <t>No</t>
        </is>
      </c>
      <c r="B225" t="inlineStr">
        <is>
          <t>R726.5 .A64 1981</t>
        </is>
      </c>
      <c r="C225" t="inlineStr">
        <is>
          <t>0                      R  0726500A  64          1981</t>
        </is>
      </c>
      <c r="D225" t="inlineStr">
        <is>
          <t>Applied techniques in behavioral medicine / edited by Charles J. Golden ... [et al.].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L225" t="inlineStr">
        <is>
          <t>New York : Grune &amp; Stratton, c1981.</t>
        </is>
      </c>
      <c r="M225" t="inlineStr">
        <is>
          <t>1981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R  </t>
        </is>
      </c>
      <c r="S225" t="n">
        <v>2</v>
      </c>
      <c r="T225" t="n">
        <v>2</v>
      </c>
      <c r="U225" t="inlineStr">
        <is>
          <t>1996-03-23</t>
        </is>
      </c>
      <c r="V225" t="inlineStr">
        <is>
          <t>1996-03-23</t>
        </is>
      </c>
      <c r="W225" t="inlineStr">
        <is>
          <t>1993-03-08</t>
        </is>
      </c>
      <c r="X225" t="inlineStr">
        <is>
          <t>1993-03-08</t>
        </is>
      </c>
      <c r="Y225" t="n">
        <v>177</v>
      </c>
      <c r="Z225" t="n">
        <v>133</v>
      </c>
      <c r="AA225" t="n">
        <v>148</v>
      </c>
      <c r="AB225" t="n">
        <v>1</v>
      </c>
      <c r="AC225" t="n">
        <v>1</v>
      </c>
      <c r="AD225" t="n">
        <v>5</v>
      </c>
      <c r="AE225" t="n">
        <v>6</v>
      </c>
      <c r="AF225" t="n">
        <v>3</v>
      </c>
      <c r="AG225" t="n">
        <v>4</v>
      </c>
      <c r="AH225" t="n">
        <v>1</v>
      </c>
      <c r="AI225" t="n">
        <v>1</v>
      </c>
      <c r="AJ225" t="n">
        <v>1</v>
      </c>
      <c r="AK225" t="n">
        <v>1</v>
      </c>
      <c r="AL225" t="n">
        <v>0</v>
      </c>
      <c r="AM225" t="n">
        <v>0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HYPERLINK("http://catalog.hathitrust.org/Record/006251033","HathiTrust Record")</f>
        <v/>
      </c>
      <c r="AS225">
        <f>HYPERLINK("https://creighton-primo.hosted.exlibrisgroup.com/primo-explore/search?tab=default_tab&amp;search_scope=EVERYTHING&amp;vid=01CRU&amp;lang=en_US&amp;offset=0&amp;query=any,contains,991005167129702656","Catalog Record")</f>
        <v/>
      </c>
      <c r="AT225">
        <f>HYPERLINK("http://www.worldcat.org/oclc/7836314","WorldCat Record")</f>
        <v/>
      </c>
    </row>
    <row r="226">
      <c r="A226" t="inlineStr">
        <is>
          <t>No</t>
        </is>
      </c>
      <c r="B226" t="inlineStr">
        <is>
          <t>R726.5 .B34</t>
        </is>
      </c>
      <c r="C226" t="inlineStr">
        <is>
          <t>0                      R  0726500B  34</t>
        </is>
      </c>
      <c r="D226" t="inlineStr">
        <is>
          <t>Psychology and medicine : psychobiological dimensions of health and illness / Donald A. Bakal.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Bakal, Donald A.</t>
        </is>
      </c>
      <c r="L226" t="inlineStr">
        <is>
          <t>New York : Springer Pub. Co., c1979.</t>
        </is>
      </c>
      <c r="M226" t="inlineStr">
        <is>
          <t>1979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R  </t>
        </is>
      </c>
      <c r="S226" t="n">
        <v>6</v>
      </c>
      <c r="T226" t="n">
        <v>6</v>
      </c>
      <c r="U226" t="inlineStr">
        <is>
          <t>1999-03-16</t>
        </is>
      </c>
      <c r="V226" t="inlineStr">
        <is>
          <t>1999-03-16</t>
        </is>
      </c>
      <c r="W226" t="inlineStr">
        <is>
          <t>1993-03-08</t>
        </is>
      </c>
      <c r="X226" t="inlineStr">
        <is>
          <t>1993-03-08</t>
        </is>
      </c>
      <c r="Y226" t="n">
        <v>358</v>
      </c>
      <c r="Z226" t="n">
        <v>290</v>
      </c>
      <c r="AA226" t="n">
        <v>299</v>
      </c>
      <c r="AB226" t="n">
        <v>3</v>
      </c>
      <c r="AC226" t="n">
        <v>3</v>
      </c>
      <c r="AD226" t="n">
        <v>10</v>
      </c>
      <c r="AE226" t="n">
        <v>10</v>
      </c>
      <c r="AF226" t="n">
        <v>3</v>
      </c>
      <c r="AG226" t="n">
        <v>3</v>
      </c>
      <c r="AH226" t="n">
        <v>1</v>
      </c>
      <c r="AI226" t="n">
        <v>1</v>
      </c>
      <c r="AJ226" t="n">
        <v>7</v>
      </c>
      <c r="AK226" t="n">
        <v>7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HYPERLINK("http://catalog.hathitrust.org/Record/000036617","HathiTrust Record")</f>
        <v/>
      </c>
      <c r="AS226">
        <f>HYPERLINK("https://creighton-primo.hosted.exlibrisgroup.com/primo-explore/search?tab=default_tab&amp;search_scope=EVERYTHING&amp;vid=01CRU&amp;lang=en_US&amp;offset=0&amp;query=any,contains,991004651309702656","Catalog Record")</f>
        <v/>
      </c>
      <c r="AT226">
        <f>HYPERLINK("http://www.worldcat.org/oclc/4494022","WorldCat Record")</f>
        <v/>
      </c>
    </row>
    <row r="227">
      <c r="A227" t="inlineStr">
        <is>
          <t>No</t>
        </is>
      </c>
      <c r="B227" t="inlineStr">
        <is>
          <t>R726.5 .B38 1986</t>
        </is>
      </c>
      <c r="C227" t="inlineStr">
        <is>
          <t>0                      R  0726500B  38          1986</t>
        </is>
      </c>
      <c r="D227" t="inlineStr">
        <is>
          <t>Behavior, health, and environmental stress / Sheldon Cohen ... [et al.].</t>
        </is>
      </c>
      <c r="F227" t="inlineStr">
        <is>
          <t>No</t>
        </is>
      </c>
      <c r="G227" t="inlineStr">
        <is>
          <t>1</t>
        </is>
      </c>
      <c r="H227" t="inlineStr">
        <is>
          <t>Yes</t>
        </is>
      </c>
      <c r="I227" t="inlineStr">
        <is>
          <t>No</t>
        </is>
      </c>
      <c r="J227" t="inlineStr">
        <is>
          <t>0</t>
        </is>
      </c>
      <c r="L227" t="inlineStr">
        <is>
          <t>New York : Plenum Press, c1986.</t>
        </is>
      </c>
      <c r="M227" t="inlineStr">
        <is>
          <t>1986</t>
        </is>
      </c>
      <c r="O227" t="inlineStr">
        <is>
          <t>eng</t>
        </is>
      </c>
      <c r="P227" t="inlineStr">
        <is>
          <t>nyu</t>
        </is>
      </c>
      <c r="R227" t="inlineStr">
        <is>
          <t xml:space="preserve">R  </t>
        </is>
      </c>
      <c r="S227" t="n">
        <v>10</v>
      </c>
      <c r="T227" t="n">
        <v>10</v>
      </c>
      <c r="U227" t="inlineStr">
        <is>
          <t>1999-11-16</t>
        </is>
      </c>
      <c r="V227" t="inlineStr">
        <is>
          <t>1999-11-16</t>
        </is>
      </c>
      <c r="W227" t="inlineStr">
        <is>
          <t>1992-11-24</t>
        </is>
      </c>
      <c r="X227" t="inlineStr">
        <is>
          <t>1992-11-24</t>
        </is>
      </c>
      <c r="Y227" t="n">
        <v>508</v>
      </c>
      <c r="Z227" t="n">
        <v>357</v>
      </c>
      <c r="AA227" t="n">
        <v>382</v>
      </c>
      <c r="AB227" t="n">
        <v>6</v>
      </c>
      <c r="AC227" t="n">
        <v>6</v>
      </c>
      <c r="AD227" t="n">
        <v>15</v>
      </c>
      <c r="AE227" t="n">
        <v>17</v>
      </c>
      <c r="AF227" t="n">
        <v>1</v>
      </c>
      <c r="AG227" t="n">
        <v>3</v>
      </c>
      <c r="AH227" t="n">
        <v>3</v>
      </c>
      <c r="AI227" t="n">
        <v>3</v>
      </c>
      <c r="AJ227" t="n">
        <v>10</v>
      </c>
      <c r="AK227" t="n">
        <v>11</v>
      </c>
      <c r="AL227" t="n">
        <v>4</v>
      </c>
      <c r="AM227" t="n">
        <v>4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HYPERLINK("http://catalog.hathitrust.org/Record/000471175","HathiTrust Record")</f>
        <v/>
      </c>
      <c r="AS227">
        <f>HYPERLINK("https://creighton-primo.hosted.exlibrisgroup.com/primo-explore/search?tab=default_tab&amp;search_scope=EVERYTHING&amp;vid=01CRU&amp;lang=en_US&amp;offset=0&amp;query=any,contains,991000785289702656","Catalog Record")</f>
        <v/>
      </c>
      <c r="AT227">
        <f>HYPERLINK("http://www.worldcat.org/oclc/13123795","WorldCat Record")</f>
        <v/>
      </c>
    </row>
    <row r="228">
      <c r="A228" t="inlineStr">
        <is>
          <t>No</t>
        </is>
      </c>
      <c r="B228" t="inlineStr">
        <is>
          <t>R726.5 .B42</t>
        </is>
      </c>
      <c r="C228" t="inlineStr">
        <is>
          <t>0                      R  0726500B  42</t>
        </is>
      </c>
      <c r="D228" t="inlineStr">
        <is>
          <t>Behavioral approaches to medical treatment / edited by Redford B. Williams, Jr., W. Doyle Gentry. --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Cambridge, Mass. : Ballinger Pub. Co., c1977.</t>
        </is>
      </c>
      <c r="M228" t="inlineStr">
        <is>
          <t>1977</t>
        </is>
      </c>
      <c r="O228" t="inlineStr">
        <is>
          <t>eng</t>
        </is>
      </c>
      <c r="P228" t="inlineStr">
        <is>
          <t>mau</t>
        </is>
      </c>
      <c r="R228" t="inlineStr">
        <is>
          <t xml:space="preserve">R  </t>
        </is>
      </c>
      <c r="S228" t="n">
        <v>4</v>
      </c>
      <c r="T228" t="n">
        <v>4</v>
      </c>
      <c r="U228" t="inlineStr">
        <is>
          <t>1998-09-29</t>
        </is>
      </c>
      <c r="V228" t="inlineStr">
        <is>
          <t>1998-09-29</t>
        </is>
      </c>
      <c r="W228" t="inlineStr">
        <is>
          <t>1991-10-29</t>
        </is>
      </c>
      <c r="X228" t="inlineStr">
        <is>
          <t>1991-10-29</t>
        </is>
      </c>
      <c r="Y228" t="n">
        <v>223</v>
      </c>
      <c r="Z228" t="n">
        <v>166</v>
      </c>
      <c r="AA228" t="n">
        <v>173</v>
      </c>
      <c r="AB228" t="n">
        <v>2</v>
      </c>
      <c r="AC228" t="n">
        <v>2</v>
      </c>
      <c r="AD228" t="n">
        <v>5</v>
      </c>
      <c r="AE228" t="n">
        <v>5</v>
      </c>
      <c r="AF228" t="n">
        <v>1</v>
      </c>
      <c r="AG228" t="n">
        <v>1</v>
      </c>
      <c r="AH228" t="n">
        <v>1</v>
      </c>
      <c r="AI228" t="n">
        <v>1</v>
      </c>
      <c r="AJ228" t="n">
        <v>3</v>
      </c>
      <c r="AK228" t="n">
        <v>3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HYPERLINK("http://catalog.hathitrust.org/Record/000129898","HathiTrust Record")</f>
        <v/>
      </c>
      <c r="AS228">
        <f>HYPERLINK("https://creighton-primo.hosted.exlibrisgroup.com/primo-explore/search?tab=default_tab&amp;search_scope=EVERYTHING&amp;vid=01CRU&amp;lang=en_US&amp;offset=0&amp;query=any,contains,991004197529702656","Catalog Record")</f>
        <v/>
      </c>
      <c r="AT228">
        <f>HYPERLINK("http://www.worldcat.org/oclc/2645406","WorldCat Record")</f>
        <v/>
      </c>
    </row>
    <row r="229">
      <c r="A229" t="inlineStr">
        <is>
          <t>No</t>
        </is>
      </c>
      <c r="B229" t="inlineStr">
        <is>
          <t>R726.5 .B424 1984</t>
        </is>
      </c>
      <c r="C229" t="inlineStr">
        <is>
          <t>0                      R  0726500B  424         1984</t>
        </is>
      </c>
      <c r="D229" t="inlineStr">
        <is>
          <t>Behavioral health : a handbook of health enhancement and disease prevention / [edited by] Joseph D. Matarazzo ... [et al.].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L229" t="inlineStr">
        <is>
          <t>New York : Wiley, c1984.</t>
        </is>
      </c>
      <c r="M229" t="inlineStr">
        <is>
          <t>1984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R  </t>
        </is>
      </c>
      <c r="S229" t="n">
        <v>4</v>
      </c>
      <c r="T229" t="n">
        <v>4</v>
      </c>
      <c r="U229" t="inlineStr">
        <is>
          <t>2006-01-20</t>
        </is>
      </c>
      <c r="V229" t="inlineStr">
        <is>
          <t>2006-01-20</t>
        </is>
      </c>
      <c r="W229" t="inlineStr">
        <is>
          <t>1990-02-21</t>
        </is>
      </c>
      <c r="X229" t="inlineStr">
        <is>
          <t>1990-02-21</t>
        </is>
      </c>
      <c r="Y229" t="n">
        <v>508</v>
      </c>
      <c r="Z229" t="n">
        <v>412</v>
      </c>
      <c r="AA229" t="n">
        <v>419</v>
      </c>
      <c r="AB229" t="n">
        <v>5</v>
      </c>
      <c r="AC229" t="n">
        <v>5</v>
      </c>
      <c r="AD229" t="n">
        <v>20</v>
      </c>
      <c r="AE229" t="n">
        <v>20</v>
      </c>
      <c r="AF229" t="n">
        <v>6</v>
      </c>
      <c r="AG229" t="n">
        <v>6</v>
      </c>
      <c r="AH229" t="n">
        <v>6</v>
      </c>
      <c r="AI229" t="n">
        <v>6</v>
      </c>
      <c r="AJ229" t="n">
        <v>11</v>
      </c>
      <c r="AK229" t="n">
        <v>11</v>
      </c>
      <c r="AL229" t="n">
        <v>3</v>
      </c>
      <c r="AM229" t="n">
        <v>3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HYPERLINK("http://catalog.hathitrust.org/Record/000450338","HathiTrust Record")</f>
        <v/>
      </c>
      <c r="AS229">
        <f>HYPERLINK("https://creighton-primo.hosted.exlibrisgroup.com/primo-explore/search?tab=default_tab&amp;search_scope=EVERYTHING&amp;vid=01CRU&amp;lang=en_US&amp;offset=0&amp;query=any,contains,991000441709702656","Catalog Record")</f>
        <v/>
      </c>
      <c r="AT229">
        <f>HYPERLINK("http://www.worldcat.org/oclc/10825137","WorldCat Record")</f>
        <v/>
      </c>
    </row>
    <row r="230">
      <c r="A230" t="inlineStr">
        <is>
          <t>No</t>
        </is>
      </c>
      <c r="B230" t="inlineStr">
        <is>
          <t>R726.5 .B53 1983</t>
        </is>
      </c>
      <c r="C230" t="inlineStr">
        <is>
          <t>0                      R  0726500B  53          1983</t>
        </is>
      </c>
      <c r="D230" t="inlineStr">
        <is>
          <t>The influence of individual differences in health and illness / Linas A. Bieliauskas.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Bieliauskas, Linas A.</t>
        </is>
      </c>
      <c r="L230" t="inlineStr">
        <is>
          <t>Boulder, Colo. : Westview Press, 1983.</t>
        </is>
      </c>
      <c r="M230" t="inlineStr">
        <is>
          <t>1983</t>
        </is>
      </c>
      <c r="O230" t="inlineStr">
        <is>
          <t>eng</t>
        </is>
      </c>
      <c r="P230" t="inlineStr">
        <is>
          <t>cou</t>
        </is>
      </c>
      <c r="Q230" t="inlineStr">
        <is>
          <t>Behavioral sciences for health care professionals</t>
        </is>
      </c>
      <c r="R230" t="inlineStr">
        <is>
          <t xml:space="preserve">R  </t>
        </is>
      </c>
      <c r="S230" t="n">
        <v>4</v>
      </c>
      <c r="T230" t="n">
        <v>4</v>
      </c>
      <c r="U230" t="inlineStr">
        <is>
          <t>1995-03-04</t>
        </is>
      </c>
      <c r="V230" t="inlineStr">
        <is>
          <t>1995-03-04</t>
        </is>
      </c>
      <c r="W230" t="inlineStr">
        <is>
          <t>1993-03-08</t>
        </is>
      </c>
      <c r="X230" t="inlineStr">
        <is>
          <t>1993-03-08</t>
        </is>
      </c>
      <c r="Y230" t="n">
        <v>204</v>
      </c>
      <c r="Z230" t="n">
        <v>161</v>
      </c>
      <c r="AA230" t="n">
        <v>188</v>
      </c>
      <c r="AB230" t="n">
        <v>2</v>
      </c>
      <c r="AC230" t="n">
        <v>2</v>
      </c>
      <c r="AD230" t="n">
        <v>3</v>
      </c>
      <c r="AE230" t="n">
        <v>3</v>
      </c>
      <c r="AF230" t="n">
        <v>1</v>
      </c>
      <c r="AG230" t="n">
        <v>1</v>
      </c>
      <c r="AH230" t="n">
        <v>0</v>
      </c>
      <c r="AI230" t="n">
        <v>0</v>
      </c>
      <c r="AJ230" t="n">
        <v>2</v>
      </c>
      <c r="AK230" t="n">
        <v>2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HYPERLINK("http://catalog.hathitrust.org/Record/000269030","HathiTrust Record")</f>
        <v/>
      </c>
      <c r="AS230">
        <f>HYPERLINK("https://creighton-primo.hosted.exlibrisgroup.com/primo-explore/search?tab=default_tab&amp;search_scope=EVERYTHING&amp;vid=01CRU&amp;lang=en_US&amp;offset=0&amp;query=any,contains,991000035819702656","Catalog Record")</f>
        <v/>
      </c>
      <c r="AT230">
        <f>HYPERLINK("http://www.worldcat.org/oclc/8627550","WorldCat Record")</f>
        <v/>
      </c>
    </row>
    <row r="231">
      <c r="A231" t="inlineStr">
        <is>
          <t>No</t>
        </is>
      </c>
      <c r="B231" t="inlineStr">
        <is>
          <t>R726.5 .B75 1994</t>
        </is>
      </c>
      <c r="C231" t="inlineStr">
        <is>
          <t>0                      R  0726500B  75          1994</t>
        </is>
      </c>
      <c r="D231" t="inlineStr">
        <is>
          <t>Imagery for getting well : clinical applications of behavioral medicine / Deirdre Davis Brigham ; with Adelaide Davis and Derry Cameron-Sampey.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Brigham, Deirdre Davis.</t>
        </is>
      </c>
      <c r="L231" t="inlineStr">
        <is>
          <t>New York : W.W. Norton, c1994.</t>
        </is>
      </c>
      <c r="M231" t="inlineStr">
        <is>
          <t>1994</t>
        </is>
      </c>
      <c r="N231" t="inlineStr">
        <is>
          <t>1st ed.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R  </t>
        </is>
      </c>
      <c r="S231" t="n">
        <v>5</v>
      </c>
      <c r="T231" t="n">
        <v>5</v>
      </c>
      <c r="U231" t="inlineStr">
        <is>
          <t>1999-10-29</t>
        </is>
      </c>
      <c r="V231" t="inlineStr">
        <is>
          <t>1999-10-29</t>
        </is>
      </c>
      <c r="W231" t="inlineStr">
        <is>
          <t>1995-04-24</t>
        </is>
      </c>
      <c r="X231" t="inlineStr">
        <is>
          <t>1995-04-24</t>
        </is>
      </c>
      <c r="Y231" t="n">
        <v>241</v>
      </c>
      <c r="Z231" t="n">
        <v>198</v>
      </c>
      <c r="AA231" t="n">
        <v>199</v>
      </c>
      <c r="AB231" t="n">
        <v>1</v>
      </c>
      <c r="AC231" t="n">
        <v>1</v>
      </c>
      <c r="AD231" t="n">
        <v>9</v>
      </c>
      <c r="AE231" t="n">
        <v>9</v>
      </c>
      <c r="AF231" t="n">
        <v>4</v>
      </c>
      <c r="AG231" t="n">
        <v>4</v>
      </c>
      <c r="AH231" t="n">
        <v>4</v>
      </c>
      <c r="AI231" t="n">
        <v>4</v>
      </c>
      <c r="AJ231" t="n">
        <v>5</v>
      </c>
      <c r="AK231" t="n">
        <v>5</v>
      </c>
      <c r="AL231" t="n">
        <v>0</v>
      </c>
      <c r="AM231" t="n">
        <v>0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HYPERLINK("https://creighton-primo.hosted.exlibrisgroup.com/primo-explore/search?tab=default_tab&amp;search_scope=EVERYTHING&amp;vid=01CRU&amp;lang=en_US&amp;offset=0&amp;query=any,contains,991002272369702656","Catalog Record")</f>
        <v/>
      </c>
      <c r="AT231">
        <f>HYPERLINK("http://www.worldcat.org/oclc/29479185","WorldCat Record")</f>
        <v/>
      </c>
    </row>
    <row r="232">
      <c r="A232" t="inlineStr">
        <is>
          <t>No</t>
        </is>
      </c>
      <c r="B232" t="inlineStr">
        <is>
          <t>R726.5 .C65 1979</t>
        </is>
      </c>
      <c r="C232" t="inlineStr">
        <is>
          <t>0                      R  0726500C  65          1979</t>
        </is>
      </c>
      <c r="D232" t="inlineStr">
        <is>
          <t>Compliance in health care / edited by R. Brian Haynes, D. Wayne Taylor, and David L. Sackett.</t>
        </is>
      </c>
      <c r="F232" t="inlineStr">
        <is>
          <t>No</t>
        </is>
      </c>
      <c r="G232" t="inlineStr">
        <is>
          <t>1</t>
        </is>
      </c>
      <c r="H232" t="inlineStr">
        <is>
          <t>Yes</t>
        </is>
      </c>
      <c r="I232" t="inlineStr">
        <is>
          <t>No</t>
        </is>
      </c>
      <c r="J232" t="inlineStr">
        <is>
          <t>0</t>
        </is>
      </c>
      <c r="L232" t="inlineStr">
        <is>
          <t>Baltimore : Johns Hopkins University Press, c1979.</t>
        </is>
      </c>
      <c r="M232" t="inlineStr">
        <is>
          <t>1979</t>
        </is>
      </c>
      <c r="O232" t="inlineStr">
        <is>
          <t>eng</t>
        </is>
      </c>
      <c r="P232" t="inlineStr">
        <is>
          <t>mdu</t>
        </is>
      </c>
      <c r="R232" t="inlineStr">
        <is>
          <t xml:space="preserve">R  </t>
        </is>
      </c>
      <c r="S232" t="n">
        <v>7</v>
      </c>
      <c r="T232" t="n">
        <v>37</v>
      </c>
      <c r="U232" t="inlineStr">
        <is>
          <t>2007-10-15</t>
        </is>
      </c>
      <c r="V232" t="inlineStr">
        <is>
          <t>2007-11-19</t>
        </is>
      </c>
      <c r="W232" t="inlineStr">
        <is>
          <t>1991-11-13</t>
        </is>
      </c>
      <c r="X232" t="inlineStr">
        <is>
          <t>1991-11-13</t>
        </is>
      </c>
      <c r="Y232" t="n">
        <v>357</v>
      </c>
      <c r="Z232" t="n">
        <v>270</v>
      </c>
      <c r="AA232" t="n">
        <v>280</v>
      </c>
      <c r="AB232" t="n">
        <v>2</v>
      </c>
      <c r="AC232" t="n">
        <v>2</v>
      </c>
      <c r="AD232" t="n">
        <v>11</v>
      </c>
      <c r="AE232" t="n">
        <v>11</v>
      </c>
      <c r="AF232" t="n">
        <v>3</v>
      </c>
      <c r="AG232" t="n">
        <v>3</v>
      </c>
      <c r="AH232" t="n">
        <v>4</v>
      </c>
      <c r="AI232" t="n">
        <v>4</v>
      </c>
      <c r="AJ232" t="n">
        <v>7</v>
      </c>
      <c r="AK232" t="n">
        <v>7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HYPERLINK("http://catalog.hathitrust.org/Record/000309917","HathiTrust Record")</f>
        <v/>
      </c>
      <c r="AS232">
        <f>HYPERLINK("https://creighton-primo.hosted.exlibrisgroup.com/primo-explore/search?tab=default_tab&amp;search_scope=EVERYTHING&amp;vid=01CRU&amp;lang=en_US&amp;offset=0&amp;query=any,contains,991001753429702656","Catalog Record")</f>
        <v/>
      </c>
      <c r="AT232">
        <f>HYPERLINK("http://www.worldcat.org/oclc/4493661","WorldCat Record")</f>
        <v/>
      </c>
    </row>
    <row r="233">
      <c r="A233" t="inlineStr">
        <is>
          <t>No</t>
        </is>
      </c>
      <c r="B233" t="inlineStr">
        <is>
          <t>R726.5 .C68</t>
        </is>
      </c>
      <c r="C233" t="inlineStr">
        <is>
          <t>0                      R  0726500C  68</t>
        </is>
      </c>
      <c r="D233" t="inlineStr">
        <is>
          <t>Coping with physical illness / edited by Rudolf H. Moos, in collaboration with Vivien Davis Tsu.</t>
        </is>
      </c>
      <c r="E233" t="inlineStr">
        <is>
          <t>V.2</t>
        </is>
      </c>
      <c r="F233" t="inlineStr">
        <is>
          <t>Yes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New York : Plenum Medical Book Co., c1977-c1984.</t>
        </is>
      </c>
      <c r="M233" t="inlineStr">
        <is>
          <t>1977</t>
        </is>
      </c>
      <c r="O233" t="inlineStr">
        <is>
          <t>eng</t>
        </is>
      </c>
      <c r="P233" t="inlineStr">
        <is>
          <t>nyu</t>
        </is>
      </c>
      <c r="Q233" t="inlineStr">
        <is>
          <t>Current topics in mental health</t>
        </is>
      </c>
      <c r="R233" t="inlineStr">
        <is>
          <t xml:space="preserve">R  </t>
        </is>
      </c>
      <c r="S233" t="n">
        <v>9</v>
      </c>
      <c r="T233" t="n">
        <v>9</v>
      </c>
      <c r="U233" t="inlineStr">
        <is>
          <t>2000-09-13</t>
        </is>
      </c>
      <c r="V233" t="inlineStr">
        <is>
          <t>2000-09-13</t>
        </is>
      </c>
      <c r="W233" t="inlineStr">
        <is>
          <t>1991-08-19</t>
        </is>
      </c>
      <c r="X233" t="inlineStr">
        <is>
          <t>1991-08-19</t>
        </is>
      </c>
      <c r="Y233" t="n">
        <v>483</v>
      </c>
      <c r="Z233" t="n">
        <v>421</v>
      </c>
      <c r="AA233" t="n">
        <v>424</v>
      </c>
      <c r="AB233" t="n">
        <v>3</v>
      </c>
      <c r="AC233" t="n">
        <v>3</v>
      </c>
      <c r="AD233" t="n">
        <v>18</v>
      </c>
      <c r="AE233" t="n">
        <v>18</v>
      </c>
      <c r="AF233" t="n">
        <v>4</v>
      </c>
      <c r="AG233" t="n">
        <v>4</v>
      </c>
      <c r="AH233" t="n">
        <v>3</v>
      </c>
      <c r="AI233" t="n">
        <v>3</v>
      </c>
      <c r="AJ233" t="n">
        <v>14</v>
      </c>
      <c r="AK233" t="n">
        <v>14</v>
      </c>
      <c r="AL233" t="n">
        <v>2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HYPERLINK("http://catalog.hathitrust.org/Record/000826604","HathiTrust Record")</f>
        <v/>
      </c>
      <c r="AS233">
        <f>HYPERLINK("https://creighton-primo.hosted.exlibrisgroup.com/primo-explore/search?tab=default_tab&amp;search_scope=EVERYTHING&amp;vid=01CRU&amp;lang=en_US&amp;offset=0&amp;query=any,contains,991004103019702656","Catalog Record")</f>
        <v/>
      </c>
      <c r="AT233">
        <f>HYPERLINK("http://www.worldcat.org/oclc/2373258","WorldCat Record")</f>
        <v/>
      </c>
    </row>
    <row r="234">
      <c r="A234" t="inlineStr">
        <is>
          <t>No</t>
        </is>
      </c>
      <c r="B234" t="inlineStr">
        <is>
          <t>R726.5 .C68</t>
        </is>
      </c>
      <c r="C234" t="inlineStr">
        <is>
          <t>0                      R  0726500C  68</t>
        </is>
      </c>
      <c r="D234" t="inlineStr">
        <is>
          <t>Coping with physical illness / edited by Rudolf H. Moos, in collaboration with Vivien Davis Tsu.</t>
        </is>
      </c>
      <c r="E234" t="inlineStr">
        <is>
          <t>V.1</t>
        </is>
      </c>
      <c r="F234" t="inlineStr">
        <is>
          <t>Yes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New York : Plenum Medical Book Co., c1977-c1984.</t>
        </is>
      </c>
      <c r="M234" t="inlineStr">
        <is>
          <t>1977</t>
        </is>
      </c>
      <c r="O234" t="inlineStr">
        <is>
          <t>eng</t>
        </is>
      </c>
      <c r="P234" t="inlineStr">
        <is>
          <t>nyu</t>
        </is>
      </c>
      <c r="Q234" t="inlineStr">
        <is>
          <t>Current topics in mental health</t>
        </is>
      </c>
      <c r="R234" t="inlineStr">
        <is>
          <t xml:space="preserve">R  </t>
        </is>
      </c>
      <c r="S234" t="n">
        <v>0</v>
      </c>
      <c r="T234" t="n">
        <v>9</v>
      </c>
      <c r="V234" t="inlineStr">
        <is>
          <t>2000-09-13</t>
        </is>
      </c>
      <c r="W234" t="inlineStr">
        <is>
          <t>1991-08-19</t>
        </is>
      </c>
      <c r="X234" t="inlineStr">
        <is>
          <t>1991-08-19</t>
        </is>
      </c>
      <c r="Y234" t="n">
        <v>483</v>
      </c>
      <c r="Z234" t="n">
        <v>421</v>
      </c>
      <c r="AA234" t="n">
        <v>424</v>
      </c>
      <c r="AB234" t="n">
        <v>3</v>
      </c>
      <c r="AC234" t="n">
        <v>3</v>
      </c>
      <c r="AD234" t="n">
        <v>18</v>
      </c>
      <c r="AE234" t="n">
        <v>18</v>
      </c>
      <c r="AF234" t="n">
        <v>4</v>
      </c>
      <c r="AG234" t="n">
        <v>4</v>
      </c>
      <c r="AH234" t="n">
        <v>3</v>
      </c>
      <c r="AI234" t="n">
        <v>3</v>
      </c>
      <c r="AJ234" t="n">
        <v>14</v>
      </c>
      <c r="AK234" t="n">
        <v>14</v>
      </c>
      <c r="AL234" t="n">
        <v>2</v>
      </c>
      <c r="AM234" t="n">
        <v>2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HYPERLINK("http://catalog.hathitrust.org/Record/000826604","HathiTrust Record")</f>
        <v/>
      </c>
      <c r="AS234">
        <f>HYPERLINK("https://creighton-primo.hosted.exlibrisgroup.com/primo-explore/search?tab=default_tab&amp;search_scope=EVERYTHING&amp;vid=01CRU&amp;lang=en_US&amp;offset=0&amp;query=any,contains,991004103019702656","Catalog Record")</f>
        <v/>
      </c>
      <c r="AT234">
        <f>HYPERLINK("http://www.worldcat.org/oclc/2373258","WorldCat Record")</f>
        <v/>
      </c>
    </row>
    <row r="235">
      <c r="A235" t="inlineStr">
        <is>
          <t>No</t>
        </is>
      </c>
      <c r="B235" t="inlineStr">
        <is>
          <t>R726.5 .C7</t>
        </is>
      </c>
      <c r="C235" t="inlineStr">
        <is>
          <t>0                      R  0726500C  7</t>
        </is>
      </c>
      <c r="D235" t="inlineStr">
        <is>
          <t>Interpersonal behavior and health care / Michael A. Counte, Luther P. Christman.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Counte, Michael A.</t>
        </is>
      </c>
      <c r="L235" t="inlineStr">
        <is>
          <t>Boulder, Colo. : Westview Press, 1981.</t>
        </is>
      </c>
      <c r="M235" t="inlineStr">
        <is>
          <t>1981</t>
        </is>
      </c>
      <c r="O235" t="inlineStr">
        <is>
          <t>eng</t>
        </is>
      </c>
      <c r="P235" t="inlineStr">
        <is>
          <t>cou</t>
        </is>
      </c>
      <c r="Q235" t="inlineStr">
        <is>
          <t>Behavioral sciences for health care professionals</t>
        </is>
      </c>
      <c r="R235" t="inlineStr">
        <is>
          <t xml:space="preserve">R  </t>
        </is>
      </c>
      <c r="S235" t="n">
        <v>3</v>
      </c>
      <c r="T235" t="n">
        <v>3</v>
      </c>
      <c r="U235" t="inlineStr">
        <is>
          <t>2000-04-15</t>
        </is>
      </c>
      <c r="V235" t="inlineStr">
        <is>
          <t>2000-04-15</t>
        </is>
      </c>
      <c r="W235" t="inlineStr">
        <is>
          <t>1993-03-08</t>
        </is>
      </c>
      <c r="X235" t="inlineStr">
        <is>
          <t>1993-03-08</t>
        </is>
      </c>
      <c r="Y235" t="n">
        <v>171</v>
      </c>
      <c r="Z235" t="n">
        <v>131</v>
      </c>
      <c r="AA235" t="n">
        <v>143</v>
      </c>
      <c r="AB235" t="n">
        <v>1</v>
      </c>
      <c r="AC235" t="n">
        <v>1</v>
      </c>
      <c r="AD235" t="n">
        <v>4</v>
      </c>
      <c r="AE235" t="n">
        <v>4</v>
      </c>
      <c r="AF235" t="n">
        <v>0</v>
      </c>
      <c r="AG235" t="n">
        <v>0</v>
      </c>
      <c r="AH235" t="n">
        <v>3</v>
      </c>
      <c r="AI235" t="n">
        <v>3</v>
      </c>
      <c r="AJ235" t="n">
        <v>2</v>
      </c>
      <c r="AK235" t="n">
        <v>2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HYPERLINK("https://creighton-primo.hosted.exlibrisgroup.com/primo-explore/search?tab=default_tab&amp;search_scope=EVERYTHING&amp;vid=01CRU&amp;lang=en_US&amp;offset=0&amp;query=any,contains,991005102719702656","Catalog Record")</f>
        <v/>
      </c>
      <c r="AT235">
        <f>HYPERLINK("http://www.worldcat.org/oclc/7306721","WorldCat Record")</f>
        <v/>
      </c>
    </row>
    <row r="236">
      <c r="A236" t="inlineStr">
        <is>
          <t>No</t>
        </is>
      </c>
      <c r="B236" t="inlineStr">
        <is>
          <t>R726.5 .D55 1982</t>
        </is>
      </c>
      <c r="C236" t="inlineStr">
        <is>
          <t>0                      R  0726500D  55          1982</t>
        </is>
      </c>
      <c r="D236" t="inlineStr">
        <is>
          <t>Achieving patient compliance : the psychology of the medical practitioner's role / M. Robin DiMatteo and D. Dante DiNicola.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DiMatteo, M. Robin.</t>
        </is>
      </c>
      <c r="L236" t="inlineStr">
        <is>
          <t>New York : Pergamon Press, 1982.</t>
        </is>
      </c>
      <c r="M236" t="inlineStr">
        <is>
          <t>1982</t>
        </is>
      </c>
      <c r="O236" t="inlineStr">
        <is>
          <t>eng</t>
        </is>
      </c>
      <c r="P236" t="inlineStr">
        <is>
          <t>nyu</t>
        </is>
      </c>
      <c r="Q236" t="inlineStr">
        <is>
          <t>Pergamon general psychology series ; no. 110</t>
        </is>
      </c>
      <c r="R236" t="inlineStr">
        <is>
          <t xml:space="preserve">R  </t>
        </is>
      </c>
      <c r="S236" t="n">
        <v>13</v>
      </c>
      <c r="T236" t="n">
        <v>13</v>
      </c>
      <c r="U236" t="inlineStr">
        <is>
          <t>2000-03-14</t>
        </is>
      </c>
      <c r="V236" t="inlineStr">
        <is>
          <t>2000-03-14</t>
        </is>
      </c>
      <c r="W236" t="inlineStr">
        <is>
          <t>1991-11-13</t>
        </is>
      </c>
      <c r="X236" t="inlineStr">
        <is>
          <t>1991-11-13</t>
        </is>
      </c>
      <c r="Y236" t="n">
        <v>304</v>
      </c>
      <c r="Z236" t="n">
        <v>223</v>
      </c>
      <c r="AA236" t="n">
        <v>230</v>
      </c>
      <c r="AB236" t="n">
        <v>2</v>
      </c>
      <c r="AC236" t="n">
        <v>2</v>
      </c>
      <c r="AD236" t="n">
        <v>12</v>
      </c>
      <c r="AE236" t="n">
        <v>12</v>
      </c>
      <c r="AF236" t="n">
        <v>3</v>
      </c>
      <c r="AG236" t="n">
        <v>3</v>
      </c>
      <c r="AH236" t="n">
        <v>4</v>
      </c>
      <c r="AI236" t="n">
        <v>4</v>
      </c>
      <c r="AJ236" t="n">
        <v>8</v>
      </c>
      <c r="AK236" t="n">
        <v>8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HYPERLINK("http://catalog.hathitrust.org/Record/000108612","HathiTrust Record")</f>
        <v/>
      </c>
      <c r="AS236">
        <f>HYPERLINK("https://creighton-primo.hosted.exlibrisgroup.com/primo-explore/search?tab=default_tab&amp;search_scope=EVERYTHING&amp;vid=01CRU&amp;lang=en_US&amp;offset=0&amp;query=any,contains,991005348619702656","Catalog Record")</f>
        <v/>
      </c>
      <c r="AT236">
        <f>HYPERLINK("http://www.worldcat.org/oclc/8220664","WorldCat Record")</f>
        <v/>
      </c>
    </row>
    <row r="237">
      <c r="A237" t="inlineStr">
        <is>
          <t>No</t>
        </is>
      </c>
      <c r="B237" t="inlineStr">
        <is>
          <t>R726.5 .H35 2000</t>
        </is>
      </c>
      <c r="C237" t="inlineStr">
        <is>
          <t>0                      R  0726500H  35          2000</t>
        </is>
      </c>
      <c r="D237" t="inlineStr">
        <is>
          <t>Health psychology : theory, research and practice / David F. Marks... [et al.].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L237" t="inlineStr">
        <is>
          <t>London : Sage, 2000.</t>
        </is>
      </c>
      <c r="M237" t="inlineStr">
        <is>
          <t>2000</t>
        </is>
      </c>
      <c r="O237" t="inlineStr">
        <is>
          <t>eng</t>
        </is>
      </c>
      <c r="P237" t="inlineStr">
        <is>
          <t>enk</t>
        </is>
      </c>
      <c r="R237" t="inlineStr">
        <is>
          <t xml:space="preserve">R  </t>
        </is>
      </c>
      <c r="S237" t="n">
        <v>3</v>
      </c>
      <c r="T237" t="n">
        <v>3</v>
      </c>
      <c r="U237" t="inlineStr">
        <is>
          <t>2005-04-26</t>
        </is>
      </c>
      <c r="V237" t="inlineStr">
        <is>
          <t>2005-04-26</t>
        </is>
      </c>
      <c r="W237" t="inlineStr">
        <is>
          <t>2000-03-01</t>
        </is>
      </c>
      <c r="X237" t="inlineStr">
        <is>
          <t>2000-03-01</t>
        </is>
      </c>
      <c r="Y237" t="n">
        <v>225</v>
      </c>
      <c r="Z237" t="n">
        <v>95</v>
      </c>
      <c r="AA237" t="n">
        <v>226</v>
      </c>
      <c r="AB237" t="n">
        <v>2</v>
      </c>
      <c r="AC237" t="n">
        <v>3</v>
      </c>
      <c r="AD237" t="n">
        <v>4</v>
      </c>
      <c r="AE237" t="n">
        <v>10</v>
      </c>
      <c r="AF237" t="n">
        <v>0</v>
      </c>
      <c r="AG237" t="n">
        <v>3</v>
      </c>
      <c r="AH237" t="n">
        <v>2</v>
      </c>
      <c r="AI237" t="n">
        <v>2</v>
      </c>
      <c r="AJ237" t="n">
        <v>2</v>
      </c>
      <c r="AK237" t="n">
        <v>5</v>
      </c>
      <c r="AL237" t="n">
        <v>1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HYPERLINK("https://creighton-primo.hosted.exlibrisgroup.com/primo-explore/search?tab=default_tab&amp;search_scope=EVERYTHING&amp;vid=01CRU&amp;lang=en_US&amp;offset=0&amp;query=any,contains,991003044289702656","Catalog Record")</f>
        <v/>
      </c>
      <c r="AT237">
        <f>HYPERLINK("http://www.worldcat.org/oclc/42406243","WorldCat Record")</f>
        <v/>
      </c>
    </row>
    <row r="238">
      <c r="A238" t="inlineStr">
        <is>
          <t>No</t>
        </is>
      </c>
      <c r="B238" t="inlineStr">
        <is>
          <t>R726.5 .H43 1974</t>
        </is>
      </c>
      <c r="C238" t="inlineStr">
        <is>
          <t>0                      R  0726500H  43          1974</t>
        </is>
      </c>
      <c r="D238" t="inlineStr">
        <is>
          <t>The Health belief model and personal health behavior / Marshall H. Becker, guest editor.</t>
        </is>
      </c>
      <c r="F238" t="inlineStr">
        <is>
          <t>No</t>
        </is>
      </c>
      <c r="G238" t="inlineStr">
        <is>
          <t>1</t>
        </is>
      </c>
      <c r="H238" t="inlineStr">
        <is>
          <t>Yes</t>
        </is>
      </c>
      <c r="I238" t="inlineStr">
        <is>
          <t>No</t>
        </is>
      </c>
      <c r="J238" t="inlineStr">
        <is>
          <t>0</t>
        </is>
      </c>
      <c r="L238" t="inlineStr">
        <is>
          <t>San Francisco : Society for Public Health Education, 1974.</t>
        </is>
      </c>
      <c r="M238" t="inlineStr">
        <is>
          <t>1974</t>
        </is>
      </c>
      <c r="O238" t="inlineStr">
        <is>
          <t>eng</t>
        </is>
      </c>
      <c r="P238" t="inlineStr">
        <is>
          <t>cau</t>
        </is>
      </c>
      <c r="Q238" t="inlineStr">
        <is>
          <t>Health education monographs ; v. 2, no. 4</t>
        </is>
      </c>
      <c r="R238" t="inlineStr">
        <is>
          <t xml:space="preserve">R  </t>
        </is>
      </c>
      <c r="S238" t="n">
        <v>22</v>
      </c>
      <c r="T238" t="n">
        <v>63</v>
      </c>
      <c r="U238" t="inlineStr">
        <is>
          <t>2008-08-19</t>
        </is>
      </c>
      <c r="V238" t="inlineStr">
        <is>
          <t>2010-06-30</t>
        </is>
      </c>
      <c r="W238" t="inlineStr">
        <is>
          <t>1991-11-13</t>
        </is>
      </c>
      <c r="X238" t="inlineStr">
        <is>
          <t>1991-11-13</t>
        </is>
      </c>
      <c r="Y238" t="n">
        <v>42</v>
      </c>
      <c r="Z238" t="n">
        <v>34</v>
      </c>
      <c r="AA238" t="n">
        <v>168</v>
      </c>
      <c r="AB238" t="n">
        <v>2</v>
      </c>
      <c r="AC238" t="n">
        <v>3</v>
      </c>
      <c r="AD238" t="n">
        <v>1</v>
      </c>
      <c r="AE238" t="n">
        <v>10</v>
      </c>
      <c r="AF238" t="n">
        <v>0</v>
      </c>
      <c r="AG238" t="n">
        <v>3</v>
      </c>
      <c r="AH238" t="n">
        <v>0</v>
      </c>
      <c r="AI238" t="n">
        <v>2</v>
      </c>
      <c r="AJ238" t="n">
        <v>1</v>
      </c>
      <c r="AK238" t="n">
        <v>6</v>
      </c>
      <c r="AL238" t="n">
        <v>0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HYPERLINK("https://creighton-primo.hosted.exlibrisgroup.com/primo-explore/search?tab=default_tab&amp;search_scope=EVERYTHING&amp;vid=01CRU&amp;lang=en_US&amp;offset=0&amp;query=any,contains,991001760489702656","Catalog Record")</f>
        <v/>
      </c>
      <c r="AT238">
        <f>HYPERLINK("http://www.worldcat.org/oclc/1365644","WorldCat Record")</f>
        <v/>
      </c>
    </row>
    <row r="239">
      <c r="A239" t="inlineStr">
        <is>
          <t>No</t>
        </is>
      </c>
      <c r="B239" t="inlineStr">
        <is>
          <t>R726.5 .H433 1985</t>
        </is>
      </c>
      <c r="C239" t="inlineStr">
        <is>
          <t>0                      R  0726500H  433         1985</t>
        </is>
      </c>
      <c r="D239" t="inlineStr">
        <is>
          <t>Health, illness, and families : a life-span perspective / Dennis C. Turk, Robert D. Kerns, editors.</t>
        </is>
      </c>
      <c r="F239" t="inlineStr">
        <is>
          <t>No</t>
        </is>
      </c>
      <c r="G239" t="inlineStr">
        <is>
          <t>1</t>
        </is>
      </c>
      <c r="H239" t="inlineStr">
        <is>
          <t>Yes</t>
        </is>
      </c>
      <c r="I239" t="inlineStr">
        <is>
          <t>No</t>
        </is>
      </c>
      <c r="J239" t="inlineStr">
        <is>
          <t>0</t>
        </is>
      </c>
      <c r="L239" t="inlineStr">
        <is>
          <t>New York : Wiley, c1985.</t>
        </is>
      </c>
      <c r="M239" t="inlineStr">
        <is>
          <t>1985</t>
        </is>
      </c>
      <c r="O239" t="inlineStr">
        <is>
          <t>eng</t>
        </is>
      </c>
      <c r="P239" t="inlineStr">
        <is>
          <t>nyu</t>
        </is>
      </c>
      <c r="Q239" t="inlineStr">
        <is>
          <t>Wiley series on health psychology/behavioral medicine</t>
        </is>
      </c>
      <c r="R239" t="inlineStr">
        <is>
          <t xml:space="preserve">R  </t>
        </is>
      </c>
      <c r="S239" t="n">
        <v>11</v>
      </c>
      <c r="T239" t="n">
        <v>11</v>
      </c>
      <c r="U239" t="inlineStr">
        <is>
          <t>1999-11-07</t>
        </is>
      </c>
      <c r="V239" t="inlineStr">
        <is>
          <t>1999-11-07</t>
        </is>
      </c>
      <c r="W239" t="inlineStr">
        <is>
          <t>1992-05-01</t>
        </is>
      </c>
      <c r="X239" t="inlineStr">
        <is>
          <t>1992-05-01</t>
        </is>
      </c>
      <c r="Y239" t="n">
        <v>472</v>
      </c>
      <c r="Z239" t="n">
        <v>372</v>
      </c>
      <c r="AA239" t="n">
        <v>379</v>
      </c>
      <c r="AB239" t="n">
        <v>4</v>
      </c>
      <c r="AC239" t="n">
        <v>4</v>
      </c>
      <c r="AD239" t="n">
        <v>18</v>
      </c>
      <c r="AE239" t="n">
        <v>18</v>
      </c>
      <c r="AF239" t="n">
        <v>7</v>
      </c>
      <c r="AG239" t="n">
        <v>7</v>
      </c>
      <c r="AH239" t="n">
        <v>6</v>
      </c>
      <c r="AI239" t="n">
        <v>6</v>
      </c>
      <c r="AJ239" t="n">
        <v>9</v>
      </c>
      <c r="AK239" t="n">
        <v>9</v>
      </c>
      <c r="AL239" t="n">
        <v>2</v>
      </c>
      <c r="AM239" t="n">
        <v>2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HYPERLINK("http://catalog.hathitrust.org/Record/000569755","HathiTrust Record")</f>
        <v/>
      </c>
      <c r="AS239">
        <f>HYPERLINK("https://creighton-primo.hosted.exlibrisgroup.com/primo-explore/search?tab=default_tab&amp;search_scope=EVERYTHING&amp;vid=01CRU&amp;lang=en_US&amp;offset=0&amp;query=any,contains,991000530969702656","Catalog Record")</f>
        <v/>
      </c>
      <c r="AT239">
        <f>HYPERLINK("http://www.worldcat.org/oclc/11398870","WorldCat Record")</f>
        <v/>
      </c>
    </row>
    <row r="240">
      <c r="A240" t="inlineStr">
        <is>
          <t>No</t>
        </is>
      </c>
      <c r="B240" t="inlineStr">
        <is>
          <t>R726.5 .H45 1984</t>
        </is>
      </c>
      <c r="C240" t="inlineStr">
        <is>
          <t>0                      R  0726500H  45          1984</t>
        </is>
      </c>
      <c r="D240" t="inlineStr">
        <is>
          <t>Helping patients and their families cope with medical problems / Howard B. Roback, editor.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L240" t="inlineStr">
        <is>
          <t>San Francisco : Jossey-Bass Publishers, 1984.</t>
        </is>
      </c>
      <c r="M240" t="inlineStr">
        <is>
          <t>1984</t>
        </is>
      </c>
      <c r="N240" t="inlineStr">
        <is>
          <t>1st ed.</t>
        </is>
      </c>
      <c r="O240" t="inlineStr">
        <is>
          <t>eng</t>
        </is>
      </c>
      <c r="P240" t="inlineStr">
        <is>
          <t>cau</t>
        </is>
      </c>
      <c r="Q240" t="inlineStr">
        <is>
          <t>The Jossey-Bass social and behavioral science series</t>
        </is>
      </c>
      <c r="R240" t="inlineStr">
        <is>
          <t xml:space="preserve">R  </t>
        </is>
      </c>
      <c r="S240" t="n">
        <v>5</v>
      </c>
      <c r="T240" t="n">
        <v>5</v>
      </c>
      <c r="U240" t="inlineStr">
        <is>
          <t>2000-02-10</t>
        </is>
      </c>
      <c r="V240" t="inlineStr">
        <is>
          <t>2000-02-10</t>
        </is>
      </c>
      <c r="W240" t="inlineStr">
        <is>
          <t>1993-04-20</t>
        </is>
      </c>
      <c r="X240" t="inlineStr">
        <is>
          <t>1993-04-20</t>
        </is>
      </c>
      <c r="Y240" t="n">
        <v>343</v>
      </c>
      <c r="Z240" t="n">
        <v>280</v>
      </c>
      <c r="AA240" t="n">
        <v>284</v>
      </c>
      <c r="AB240" t="n">
        <v>2</v>
      </c>
      <c r="AC240" t="n">
        <v>2</v>
      </c>
      <c r="AD240" t="n">
        <v>8</v>
      </c>
      <c r="AE240" t="n">
        <v>8</v>
      </c>
      <c r="AF240" t="n">
        <v>3</v>
      </c>
      <c r="AG240" t="n">
        <v>3</v>
      </c>
      <c r="AH240" t="n">
        <v>2</v>
      </c>
      <c r="AI240" t="n">
        <v>2</v>
      </c>
      <c r="AJ240" t="n">
        <v>5</v>
      </c>
      <c r="AK240" t="n">
        <v>5</v>
      </c>
      <c r="AL240" t="n">
        <v>0</v>
      </c>
      <c r="AM240" t="n">
        <v>0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HYPERLINK("http://catalog.hathitrust.org/Record/000783107","HathiTrust Record")</f>
        <v/>
      </c>
      <c r="AS240">
        <f>HYPERLINK("https://creighton-primo.hosted.exlibrisgroup.com/primo-explore/search?tab=default_tab&amp;search_scope=EVERYTHING&amp;vid=01CRU&amp;lang=en_US&amp;offset=0&amp;query=any,contains,991000342559702656","Catalog Record")</f>
        <v/>
      </c>
      <c r="AT240">
        <f>HYPERLINK("http://www.worldcat.org/oclc/10274927","WorldCat Record")</f>
        <v/>
      </c>
    </row>
    <row r="241">
      <c r="A241" t="inlineStr">
        <is>
          <t>No</t>
        </is>
      </c>
      <c r="B241" t="inlineStr">
        <is>
          <t>R726.5 .I59 1979</t>
        </is>
      </c>
      <c r="C241" t="inlineStr">
        <is>
          <t>0                      R  0726500I  59          1979</t>
        </is>
      </c>
      <c r="D241" t="inlineStr">
        <is>
          <t>Research in psychology and medicine / edited by D. J. Oborne, M. M. Gruneberg, J. R. Eiser.</t>
        </is>
      </c>
      <c r="E241" t="inlineStr">
        <is>
          <t>V.1</t>
        </is>
      </c>
      <c r="F241" t="inlineStr">
        <is>
          <t>Yes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International Conference on Psychology and Medicine (1979 : Swansea, Wales)</t>
        </is>
      </c>
      <c r="L241" t="inlineStr">
        <is>
          <t>London ; New York : Academic Press, 1979.</t>
        </is>
      </c>
      <c r="M241" t="inlineStr">
        <is>
          <t>1979</t>
        </is>
      </c>
      <c r="O241" t="inlineStr">
        <is>
          <t>eng</t>
        </is>
      </c>
      <c r="P241" t="inlineStr">
        <is>
          <t>enk</t>
        </is>
      </c>
      <c r="R241" t="inlineStr">
        <is>
          <t xml:space="preserve">R  </t>
        </is>
      </c>
      <c r="S241" t="n">
        <v>2</v>
      </c>
      <c r="T241" t="n">
        <v>2</v>
      </c>
      <c r="U241" t="inlineStr">
        <is>
          <t>1999-03-16</t>
        </is>
      </c>
      <c r="V241" t="inlineStr">
        <is>
          <t>1999-03-16</t>
        </is>
      </c>
      <c r="W241" t="inlineStr">
        <is>
          <t>1991-01-07</t>
        </is>
      </c>
      <c r="X241" t="inlineStr">
        <is>
          <t>1993-03-08</t>
        </is>
      </c>
      <c r="Y241" t="n">
        <v>240</v>
      </c>
      <c r="Z241" t="n">
        <v>158</v>
      </c>
      <c r="AA241" t="n">
        <v>158</v>
      </c>
      <c r="AB241" t="n">
        <v>2</v>
      </c>
      <c r="AC241" t="n">
        <v>2</v>
      </c>
      <c r="AD241" t="n">
        <v>2</v>
      </c>
      <c r="AE241" t="n">
        <v>2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1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HYPERLINK("https://creighton-primo.hosted.exlibrisgroup.com/primo-explore/search?tab=default_tab&amp;search_scope=EVERYTHING&amp;vid=01CRU&amp;lang=en_US&amp;offset=0&amp;query=any,contains,991004878459702656","Catalog Record")</f>
        <v/>
      </c>
      <c r="AT241">
        <f>HYPERLINK("http://www.worldcat.org/oclc/5800187","WorldCat Record")</f>
        <v/>
      </c>
    </row>
    <row r="242">
      <c r="A242" t="inlineStr">
        <is>
          <t>No</t>
        </is>
      </c>
      <c r="B242" t="inlineStr">
        <is>
          <t>R726.5 .I59 1979</t>
        </is>
      </c>
      <c r="C242" t="inlineStr">
        <is>
          <t>0                      R  0726500I  59          1979</t>
        </is>
      </c>
      <c r="D242" t="inlineStr">
        <is>
          <t>Research in psychology and medicine / edited by D. J. Oborne, M. M. Gruneberg, J. R. Eiser.</t>
        </is>
      </c>
      <c r="E242" t="inlineStr">
        <is>
          <t>V.2</t>
        </is>
      </c>
      <c r="F242" t="inlineStr">
        <is>
          <t>Yes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International Conference on Psychology and Medicine (1979 : Swansea, Wales)</t>
        </is>
      </c>
      <c r="L242" t="inlineStr">
        <is>
          <t>London ; New York : Academic Press, 1979.</t>
        </is>
      </c>
      <c r="M242" t="inlineStr">
        <is>
          <t>1979</t>
        </is>
      </c>
      <c r="O242" t="inlineStr">
        <is>
          <t>eng</t>
        </is>
      </c>
      <c r="P242" t="inlineStr">
        <is>
          <t>enk</t>
        </is>
      </c>
      <c r="R242" t="inlineStr">
        <is>
          <t xml:space="preserve">R  </t>
        </is>
      </c>
      <c r="S242" t="n">
        <v>0</v>
      </c>
      <c r="T242" t="n">
        <v>2</v>
      </c>
      <c r="V242" t="inlineStr">
        <is>
          <t>1999-03-16</t>
        </is>
      </c>
      <c r="W242" t="inlineStr">
        <is>
          <t>1993-03-08</t>
        </is>
      </c>
      <c r="X242" t="inlineStr">
        <is>
          <t>1993-03-08</t>
        </is>
      </c>
      <c r="Y242" t="n">
        <v>240</v>
      </c>
      <c r="Z242" t="n">
        <v>158</v>
      </c>
      <c r="AA242" t="n">
        <v>158</v>
      </c>
      <c r="AB242" t="n">
        <v>2</v>
      </c>
      <c r="AC242" t="n">
        <v>2</v>
      </c>
      <c r="AD242" t="n">
        <v>2</v>
      </c>
      <c r="AE242" t="n">
        <v>2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1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HYPERLINK("https://creighton-primo.hosted.exlibrisgroup.com/primo-explore/search?tab=default_tab&amp;search_scope=EVERYTHING&amp;vid=01CRU&amp;lang=en_US&amp;offset=0&amp;query=any,contains,991004878459702656","Catalog Record")</f>
        <v/>
      </c>
      <c r="AT242">
        <f>HYPERLINK("http://www.worldcat.org/oclc/5800187","WorldCat Record")</f>
        <v/>
      </c>
    </row>
    <row r="243">
      <c r="A243" t="inlineStr">
        <is>
          <t>No</t>
        </is>
      </c>
      <c r="B243" t="inlineStr">
        <is>
          <t>R726.5 .I6 1982</t>
        </is>
      </c>
      <c r="C243" t="inlineStr">
        <is>
          <t>0                      R  0726500I  6           1982</t>
        </is>
      </c>
      <c r="D243" t="inlineStr">
        <is>
          <t>Interpersonal issues in health care / edited by Howard S. Friedman, M. Robin DiMatteo.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New York : Academic Press, 1982.</t>
        </is>
      </c>
      <c r="M243" t="inlineStr">
        <is>
          <t>1982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R  </t>
        </is>
      </c>
      <c r="S243" t="n">
        <v>10</v>
      </c>
      <c r="T243" t="n">
        <v>10</v>
      </c>
      <c r="U243" t="inlineStr">
        <is>
          <t>2000-04-15</t>
        </is>
      </c>
      <c r="V243" t="inlineStr">
        <is>
          <t>2000-04-15</t>
        </is>
      </c>
      <c r="W243" t="inlineStr">
        <is>
          <t>1992-02-20</t>
        </is>
      </c>
      <c r="X243" t="inlineStr">
        <is>
          <t>1992-02-20</t>
        </is>
      </c>
      <c r="Y243" t="n">
        <v>268</v>
      </c>
      <c r="Z243" t="n">
        <v>188</v>
      </c>
      <c r="AA243" t="n">
        <v>190</v>
      </c>
      <c r="AB243" t="n">
        <v>1</v>
      </c>
      <c r="AC243" t="n">
        <v>1</v>
      </c>
      <c r="AD243" t="n">
        <v>7</v>
      </c>
      <c r="AE243" t="n">
        <v>7</v>
      </c>
      <c r="AF243" t="n">
        <v>3</v>
      </c>
      <c r="AG243" t="n">
        <v>3</v>
      </c>
      <c r="AH243" t="n">
        <v>2</v>
      </c>
      <c r="AI243" t="n">
        <v>2</v>
      </c>
      <c r="AJ243" t="n">
        <v>5</v>
      </c>
      <c r="AK243" t="n">
        <v>5</v>
      </c>
      <c r="AL243" t="n">
        <v>0</v>
      </c>
      <c r="AM243" t="n">
        <v>0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HYPERLINK("http://catalog.hathitrust.org/Record/000192685","HathiTrust Record")</f>
        <v/>
      </c>
      <c r="AS243">
        <f>HYPERLINK("https://creighton-primo.hosted.exlibrisgroup.com/primo-explore/search?tab=default_tab&amp;search_scope=EVERYTHING&amp;vid=01CRU&amp;lang=en_US&amp;offset=0&amp;query=any,contains,991005241819702656","Catalog Record")</f>
        <v/>
      </c>
      <c r="AT243">
        <f>HYPERLINK("http://www.worldcat.org/oclc/8430047","WorldCat Record")</f>
        <v/>
      </c>
    </row>
    <row r="244">
      <c r="A244" t="inlineStr">
        <is>
          <t>No</t>
        </is>
      </c>
      <c r="B244" t="inlineStr">
        <is>
          <t>R726.5 .K35 1983</t>
        </is>
      </c>
      <c r="C244" t="inlineStr">
        <is>
          <t>0                      R  0726500K  35          1983</t>
        </is>
      </c>
      <c r="D244" t="inlineStr">
        <is>
          <t>Psychology and medical care / G. Kent, M. Dalgleish.</t>
        </is>
      </c>
      <c r="F244" t="inlineStr">
        <is>
          <t>No</t>
        </is>
      </c>
      <c r="G244" t="inlineStr">
        <is>
          <t>1</t>
        </is>
      </c>
      <c r="H244" t="inlineStr">
        <is>
          <t>Yes</t>
        </is>
      </c>
      <c r="I244" t="inlineStr">
        <is>
          <t>No</t>
        </is>
      </c>
      <c r="J244" t="inlineStr">
        <is>
          <t>0</t>
        </is>
      </c>
      <c r="K244" t="inlineStr">
        <is>
          <t>Kent, G. (Gerald)</t>
        </is>
      </c>
      <c r="L244" t="inlineStr">
        <is>
          <t>Berkshire, Eng. : Van Nostrand Reinhold (UK), 1983.</t>
        </is>
      </c>
      <c r="M244" t="inlineStr">
        <is>
          <t>1983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R  </t>
        </is>
      </c>
      <c r="S244" t="n">
        <v>1</v>
      </c>
      <c r="T244" t="n">
        <v>1</v>
      </c>
      <c r="U244" t="inlineStr">
        <is>
          <t>1996-10-27</t>
        </is>
      </c>
      <c r="V244" t="inlineStr">
        <is>
          <t>1996-10-27</t>
        </is>
      </c>
      <c r="W244" t="inlineStr">
        <is>
          <t>1991-10-29</t>
        </is>
      </c>
      <c r="X244" t="inlineStr">
        <is>
          <t>1991-10-29</t>
        </is>
      </c>
      <c r="Y244" t="n">
        <v>100</v>
      </c>
      <c r="Z244" t="n">
        <v>55</v>
      </c>
      <c r="AA244" t="n">
        <v>113</v>
      </c>
      <c r="AB244" t="n">
        <v>2</v>
      </c>
      <c r="AC244" t="n">
        <v>2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1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HYPERLINK("https://creighton-primo.hosted.exlibrisgroup.com/primo-explore/search?tab=default_tab&amp;search_scope=EVERYTHING&amp;vid=01CRU&amp;lang=en_US&amp;offset=0&amp;query=any,contains,991005240059702656","Catalog Record")</f>
        <v/>
      </c>
      <c r="AT244">
        <f>HYPERLINK("http://www.worldcat.org/oclc/8410246","WorldCat Record")</f>
        <v/>
      </c>
    </row>
    <row r="245">
      <c r="A245" t="inlineStr">
        <is>
          <t>No</t>
        </is>
      </c>
      <c r="B245" t="inlineStr">
        <is>
          <t>R726.5 .M39 1989</t>
        </is>
      </c>
      <c r="C245" t="inlineStr">
        <is>
          <t>0                      R  0726500M  39          1989</t>
        </is>
      </c>
      <c r="D245" t="inlineStr">
        <is>
          <t>Mechanisms of psychological influence on physical health : with special attention to the elderly / edited by Laura L. Carstensen and John M. Neale.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Plenum Press, c1989.</t>
        </is>
      </c>
      <c r="M245" t="inlineStr">
        <is>
          <t>1989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R  </t>
        </is>
      </c>
      <c r="S245" t="n">
        <v>10</v>
      </c>
      <c r="T245" t="n">
        <v>10</v>
      </c>
      <c r="U245" t="inlineStr">
        <is>
          <t>2000-03-10</t>
        </is>
      </c>
      <c r="V245" t="inlineStr">
        <is>
          <t>2000-03-10</t>
        </is>
      </c>
      <c r="W245" t="inlineStr">
        <is>
          <t>1991-06-04</t>
        </is>
      </c>
      <c r="X245" t="inlineStr">
        <is>
          <t>1991-06-04</t>
        </is>
      </c>
      <c r="Y245" t="n">
        <v>176</v>
      </c>
      <c r="Z245" t="n">
        <v>133</v>
      </c>
      <c r="AA245" t="n">
        <v>155</v>
      </c>
      <c r="AB245" t="n">
        <v>2</v>
      </c>
      <c r="AC245" t="n">
        <v>2</v>
      </c>
      <c r="AD245" t="n">
        <v>7</v>
      </c>
      <c r="AE245" t="n">
        <v>9</v>
      </c>
      <c r="AF245" t="n">
        <v>1</v>
      </c>
      <c r="AG245" t="n">
        <v>3</v>
      </c>
      <c r="AH245" t="n">
        <v>2</v>
      </c>
      <c r="AI245" t="n">
        <v>2</v>
      </c>
      <c r="AJ245" t="n">
        <v>5</v>
      </c>
      <c r="AK245" t="n">
        <v>6</v>
      </c>
      <c r="AL245" t="n">
        <v>1</v>
      </c>
      <c r="AM245" t="n">
        <v>1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HYPERLINK("https://creighton-primo.hosted.exlibrisgroup.com/primo-explore/search?tab=default_tab&amp;search_scope=EVERYTHING&amp;vid=01CRU&amp;lang=en_US&amp;offset=0&amp;query=any,contains,991001422419702656","Catalog Record")</f>
        <v/>
      </c>
      <c r="AT245">
        <f>HYPERLINK("http://www.worldcat.org/oclc/18983585","WorldCat Record")</f>
        <v/>
      </c>
    </row>
    <row r="246">
      <c r="A246" t="inlineStr">
        <is>
          <t>No</t>
        </is>
      </c>
      <c r="B246" t="inlineStr">
        <is>
          <t>R726.5 .M45</t>
        </is>
      </c>
      <c r="C246" t="inlineStr">
        <is>
          <t>0                      R  0726500M  45</t>
        </is>
      </c>
      <c r="D246" t="inlineStr">
        <is>
          <t>Religion and medicine: a discussion, edited by M. A. H. Melinsky.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Yes</t>
        </is>
      </c>
      <c r="J246" t="inlineStr">
        <is>
          <t>0</t>
        </is>
      </c>
      <c r="K246" t="inlineStr">
        <is>
          <t>Melinsky, Hugh, 1924-, compiler.</t>
        </is>
      </c>
      <c r="L246" t="inlineStr">
        <is>
          <t>London, Published for the Institute of Religion and Medicine by Student Christian Movement Press, 1970.</t>
        </is>
      </c>
      <c r="M246" t="inlineStr">
        <is>
          <t>1970</t>
        </is>
      </c>
      <c r="O246" t="inlineStr">
        <is>
          <t>eng</t>
        </is>
      </c>
      <c r="P246" t="inlineStr">
        <is>
          <t>enk</t>
        </is>
      </c>
      <c r="R246" t="inlineStr">
        <is>
          <t xml:space="preserve">R  </t>
        </is>
      </c>
      <c r="S246" t="n">
        <v>2</v>
      </c>
      <c r="T246" t="n">
        <v>2</v>
      </c>
      <c r="U246" t="inlineStr">
        <is>
          <t>2009-03-28</t>
        </is>
      </c>
      <c r="V246" t="inlineStr">
        <is>
          <t>2009-03-28</t>
        </is>
      </c>
      <c r="W246" t="inlineStr">
        <is>
          <t>1997-08-07</t>
        </is>
      </c>
      <c r="X246" t="inlineStr">
        <is>
          <t>1997-08-07</t>
        </is>
      </c>
      <c r="Y246" t="n">
        <v>118</v>
      </c>
      <c r="Z246" t="n">
        <v>76</v>
      </c>
      <c r="AA246" t="n">
        <v>100</v>
      </c>
      <c r="AB246" t="n">
        <v>3</v>
      </c>
      <c r="AC246" t="n">
        <v>3</v>
      </c>
      <c r="AD246" t="n">
        <v>3</v>
      </c>
      <c r="AE246" t="n">
        <v>5</v>
      </c>
      <c r="AF246" t="n">
        <v>0</v>
      </c>
      <c r="AG246" t="n">
        <v>0</v>
      </c>
      <c r="AH246" t="n">
        <v>0</v>
      </c>
      <c r="AI246" t="n">
        <v>0</v>
      </c>
      <c r="AJ246" t="n">
        <v>2</v>
      </c>
      <c r="AK246" t="n">
        <v>4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HYPERLINK("https://creighton-primo.hosted.exlibrisgroup.com/primo-explore/search?tab=default_tab&amp;search_scope=EVERYTHING&amp;vid=01CRU&amp;lang=en_US&amp;offset=0&amp;query=any,contains,991005266229702656","Catalog Record")</f>
        <v/>
      </c>
      <c r="AT246">
        <f>HYPERLINK("http://www.worldcat.org/oclc/39699791","WorldCat Record")</f>
        <v/>
      </c>
    </row>
    <row r="247">
      <c r="A247" t="inlineStr">
        <is>
          <t>No</t>
        </is>
      </c>
      <c r="B247" t="inlineStr">
        <is>
          <t>R726.5 .M451 1987</t>
        </is>
      </c>
      <c r="C247" t="inlineStr">
        <is>
          <t>0                      R  0726500M  451         1987</t>
        </is>
      </c>
      <c r="D247" t="inlineStr">
        <is>
          <t>Facilitating treatment adherence : a practitioner's guidebook / Donald Meichenbaum and Dennis C. Turk.</t>
        </is>
      </c>
      <c r="F247" t="inlineStr">
        <is>
          <t>No</t>
        </is>
      </c>
      <c r="G247" t="inlineStr">
        <is>
          <t>1</t>
        </is>
      </c>
      <c r="H247" t="inlineStr">
        <is>
          <t>Yes</t>
        </is>
      </c>
      <c r="I247" t="inlineStr">
        <is>
          <t>No</t>
        </is>
      </c>
      <c r="J247" t="inlineStr">
        <is>
          <t>0</t>
        </is>
      </c>
      <c r="K247" t="inlineStr">
        <is>
          <t>Meichenbaum, Donald.</t>
        </is>
      </c>
      <c r="L247" t="inlineStr">
        <is>
          <t>New York : Plenum Press, c1987.</t>
        </is>
      </c>
      <c r="M247" t="inlineStr">
        <is>
          <t>1987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R  </t>
        </is>
      </c>
      <c r="S247" t="n">
        <v>12</v>
      </c>
      <c r="T247" t="n">
        <v>12</v>
      </c>
      <c r="U247" t="inlineStr">
        <is>
          <t>1999-06-23</t>
        </is>
      </c>
      <c r="V247" t="inlineStr">
        <is>
          <t>1999-06-23</t>
        </is>
      </c>
      <c r="W247" t="inlineStr">
        <is>
          <t>1991-05-01</t>
        </is>
      </c>
      <c r="X247" t="inlineStr">
        <is>
          <t>1991-05-01</t>
        </is>
      </c>
      <c r="Y247" t="n">
        <v>370</v>
      </c>
      <c r="Z247" t="n">
        <v>285</v>
      </c>
      <c r="AA247" t="n">
        <v>290</v>
      </c>
      <c r="AB247" t="n">
        <v>3</v>
      </c>
      <c r="AC247" t="n">
        <v>3</v>
      </c>
      <c r="AD247" t="n">
        <v>15</v>
      </c>
      <c r="AE247" t="n">
        <v>15</v>
      </c>
      <c r="AF247" t="n">
        <v>4</v>
      </c>
      <c r="AG247" t="n">
        <v>4</v>
      </c>
      <c r="AH247" t="n">
        <v>4</v>
      </c>
      <c r="AI247" t="n">
        <v>4</v>
      </c>
      <c r="AJ247" t="n">
        <v>11</v>
      </c>
      <c r="AK247" t="n">
        <v>11</v>
      </c>
      <c r="AL247" t="n">
        <v>1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HYPERLINK("http://catalog.hathitrust.org/Record/000853311","HathiTrust Record")</f>
        <v/>
      </c>
      <c r="AS247">
        <f>HYPERLINK("https://creighton-primo.hosted.exlibrisgroup.com/primo-explore/search?tab=default_tab&amp;search_scope=EVERYTHING&amp;vid=01CRU&amp;lang=en_US&amp;offset=0&amp;query=any,contains,991001083429702656","Catalog Record")</f>
        <v/>
      </c>
      <c r="AT247">
        <f>HYPERLINK("http://www.worldcat.org/oclc/16091704","WorldCat Record")</f>
        <v/>
      </c>
    </row>
    <row r="248">
      <c r="A248" t="inlineStr">
        <is>
          <t>No</t>
        </is>
      </c>
      <c r="B248" t="inlineStr">
        <is>
          <t>R726.5 .M69 1993</t>
        </is>
      </c>
      <c r="C248" t="inlineStr">
        <is>
          <t>0                      R  0726500M  69          1993</t>
        </is>
      </c>
      <c r="D248" t="inlineStr">
        <is>
          <t>Healing and the mind / Bill Moyers ; Betty Sue Flowers, editor ; David Grubin, executive editor ; Elizabeth Meryman-Brunner, art research.</t>
        </is>
      </c>
      <c r="F248" t="inlineStr">
        <is>
          <t>No</t>
        </is>
      </c>
      <c r="G248" t="inlineStr">
        <is>
          <t>1</t>
        </is>
      </c>
      <c r="H248" t="inlineStr">
        <is>
          <t>Yes</t>
        </is>
      </c>
      <c r="I248" t="inlineStr">
        <is>
          <t>No</t>
        </is>
      </c>
      <c r="J248" t="inlineStr">
        <is>
          <t>0</t>
        </is>
      </c>
      <c r="K248" t="inlineStr">
        <is>
          <t>Moyers, Bill D.</t>
        </is>
      </c>
      <c r="L248" t="inlineStr">
        <is>
          <t>New York : Doubleday, 1993.</t>
        </is>
      </c>
      <c r="M248" t="inlineStr">
        <is>
          <t>1993</t>
        </is>
      </c>
      <c r="N248" t="inlineStr">
        <is>
          <t>1st ed.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R  </t>
        </is>
      </c>
      <c r="S248" t="n">
        <v>35</v>
      </c>
      <c r="T248" t="n">
        <v>68</v>
      </c>
      <c r="U248" t="inlineStr">
        <is>
          <t>2009-11-18</t>
        </is>
      </c>
      <c r="V248" t="inlineStr">
        <is>
          <t>2009-11-18</t>
        </is>
      </c>
      <c r="W248" t="inlineStr">
        <is>
          <t>1993-07-22</t>
        </is>
      </c>
      <c r="X248" t="inlineStr">
        <is>
          <t>1993-07-22</t>
        </is>
      </c>
      <c r="Y248" t="n">
        <v>2699</v>
      </c>
      <c r="Z248" t="n">
        <v>2550</v>
      </c>
      <c r="AA248" t="n">
        <v>2702</v>
      </c>
      <c r="AB248" t="n">
        <v>28</v>
      </c>
      <c r="AC248" t="n">
        <v>28</v>
      </c>
      <c r="AD248" t="n">
        <v>36</v>
      </c>
      <c r="AE248" t="n">
        <v>38</v>
      </c>
      <c r="AF248" t="n">
        <v>17</v>
      </c>
      <c r="AG248" t="n">
        <v>18</v>
      </c>
      <c r="AH248" t="n">
        <v>5</v>
      </c>
      <c r="AI248" t="n">
        <v>5</v>
      </c>
      <c r="AJ248" t="n">
        <v>16</v>
      </c>
      <c r="AK248" t="n">
        <v>17</v>
      </c>
      <c r="AL248" t="n">
        <v>5</v>
      </c>
      <c r="AM248" t="n">
        <v>5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HYPERLINK("http://catalog.hathitrust.org/Record/002640652","HathiTrust Record")</f>
        <v/>
      </c>
      <c r="AS248">
        <f>HYPERLINK("https://creighton-primo.hosted.exlibrisgroup.com/primo-explore/search?tab=default_tab&amp;search_scope=EVERYTHING&amp;vid=01CRU&amp;lang=en_US&amp;offset=0&amp;query=any,contains,991001799729702656","Catalog Record")</f>
        <v/>
      </c>
      <c r="AT248">
        <f>HYPERLINK("http://www.worldcat.org/oclc/26590817","WorldCat Record")</f>
        <v/>
      </c>
    </row>
    <row r="249">
      <c r="A249" t="inlineStr">
        <is>
          <t>No</t>
        </is>
      </c>
      <c r="B249" t="inlineStr">
        <is>
          <t>R726.5 .P48 1988</t>
        </is>
      </c>
      <c r="C249" t="inlineStr">
        <is>
          <t>0                      R  0726500P  48          1988</t>
        </is>
      </c>
      <c r="D249" t="inlineStr">
        <is>
          <t>Patient compliance : new light on health delivery systems in medicine and psychotherapy / by E. Lakin Phillips.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Phillips, E. Lakin (Ewing Lakin), 1915-1994.</t>
        </is>
      </c>
      <c r="L249" t="inlineStr">
        <is>
          <t>Toronto ; Lewiston, NY : Huber, c1988.</t>
        </is>
      </c>
      <c r="M249" t="inlineStr">
        <is>
          <t>1988</t>
        </is>
      </c>
      <c r="O249" t="inlineStr">
        <is>
          <t>eng</t>
        </is>
      </c>
      <c r="P249" t="inlineStr">
        <is>
          <t>onc</t>
        </is>
      </c>
      <c r="R249" t="inlineStr">
        <is>
          <t xml:space="preserve">R  </t>
        </is>
      </c>
      <c r="S249" t="n">
        <v>10</v>
      </c>
      <c r="T249" t="n">
        <v>10</v>
      </c>
      <c r="U249" t="inlineStr">
        <is>
          <t>2000-04-15</t>
        </is>
      </c>
      <c r="V249" t="inlineStr">
        <is>
          <t>2000-04-15</t>
        </is>
      </c>
      <c r="W249" t="inlineStr">
        <is>
          <t>1991-07-17</t>
        </is>
      </c>
      <c r="X249" t="inlineStr">
        <is>
          <t>1991-07-17</t>
        </is>
      </c>
      <c r="Y249" t="n">
        <v>134</v>
      </c>
      <c r="Z249" t="n">
        <v>83</v>
      </c>
      <c r="AA249" t="n">
        <v>84</v>
      </c>
      <c r="AB249" t="n">
        <v>2</v>
      </c>
      <c r="AC249" t="n">
        <v>2</v>
      </c>
      <c r="AD249" t="n">
        <v>6</v>
      </c>
      <c r="AE249" t="n">
        <v>6</v>
      </c>
      <c r="AF249" t="n">
        <v>1</v>
      </c>
      <c r="AG249" t="n">
        <v>1</v>
      </c>
      <c r="AH249" t="n">
        <v>1</v>
      </c>
      <c r="AI249" t="n">
        <v>1</v>
      </c>
      <c r="AJ249" t="n">
        <v>5</v>
      </c>
      <c r="AK249" t="n">
        <v>5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HYPERLINK("https://creighton-primo.hosted.exlibrisgroup.com/primo-explore/search?tab=default_tab&amp;search_scope=EVERYTHING&amp;vid=01CRU&amp;lang=en_US&amp;offset=0&amp;query=any,contains,991001312889702656","Catalog Record")</f>
        <v/>
      </c>
      <c r="AT249">
        <f>HYPERLINK("http://www.worldcat.org/oclc/18163625","WorldCat Record")</f>
        <v/>
      </c>
    </row>
    <row r="250">
      <c r="A250" t="inlineStr">
        <is>
          <t>No</t>
        </is>
      </c>
      <c r="B250" t="inlineStr">
        <is>
          <t>R726.5 .P777 1990</t>
        </is>
      </c>
      <c r="C250" t="inlineStr">
        <is>
          <t>0                      R  0726500P  777         1990</t>
        </is>
      </c>
      <c r="D250" t="inlineStr">
        <is>
          <t>Psychological aspects of serious illness : chronic conditions, fatal diseases, and clinical care / master lecturers, Gregory M. Herek ... [et al.] ; edited by Paul T. Costa, Jr. and Gary R. VandenBos.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Washington, D.C. : American Psychological Association, 1990.</t>
        </is>
      </c>
      <c r="M250" t="inlineStr">
        <is>
          <t>1990</t>
        </is>
      </c>
      <c r="N250" t="inlineStr">
        <is>
          <t>1st ed.</t>
        </is>
      </c>
      <c r="O250" t="inlineStr">
        <is>
          <t>eng</t>
        </is>
      </c>
      <c r="P250" t="inlineStr">
        <is>
          <t>dcu</t>
        </is>
      </c>
      <c r="Q250" t="inlineStr">
        <is>
          <t>Master lectures in psychology</t>
        </is>
      </c>
      <c r="R250" t="inlineStr">
        <is>
          <t xml:space="preserve">R  </t>
        </is>
      </c>
      <c r="S250" t="n">
        <v>20</v>
      </c>
      <c r="T250" t="n">
        <v>20</v>
      </c>
      <c r="U250" t="inlineStr">
        <is>
          <t>1999-04-20</t>
        </is>
      </c>
      <c r="V250" t="inlineStr">
        <is>
          <t>1999-04-20</t>
        </is>
      </c>
      <c r="W250" t="inlineStr">
        <is>
          <t>1991-08-06</t>
        </is>
      </c>
      <c r="X250" t="inlineStr">
        <is>
          <t>1991-08-06</t>
        </is>
      </c>
      <c r="Y250" t="n">
        <v>384</v>
      </c>
      <c r="Z250" t="n">
        <v>300</v>
      </c>
      <c r="AA250" t="n">
        <v>375</v>
      </c>
      <c r="AB250" t="n">
        <v>2</v>
      </c>
      <c r="AC250" t="n">
        <v>3</v>
      </c>
      <c r="AD250" t="n">
        <v>14</v>
      </c>
      <c r="AE250" t="n">
        <v>19</v>
      </c>
      <c r="AF250" t="n">
        <v>5</v>
      </c>
      <c r="AG250" t="n">
        <v>7</v>
      </c>
      <c r="AH250" t="n">
        <v>4</v>
      </c>
      <c r="AI250" t="n">
        <v>4</v>
      </c>
      <c r="AJ250" t="n">
        <v>8</v>
      </c>
      <c r="AK250" t="n">
        <v>10</v>
      </c>
      <c r="AL250" t="n">
        <v>1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HYPERLINK("https://creighton-primo.hosted.exlibrisgroup.com/primo-explore/search?tab=default_tab&amp;search_scope=EVERYTHING&amp;vid=01CRU&amp;lang=en_US&amp;offset=0&amp;query=any,contains,991001803949702656","Catalog Record")</f>
        <v/>
      </c>
      <c r="AT250">
        <f>HYPERLINK("http://www.worldcat.org/oclc/22665347","WorldCat Record")</f>
        <v/>
      </c>
    </row>
    <row r="251">
      <c r="A251" t="inlineStr">
        <is>
          <t>No</t>
        </is>
      </c>
      <c r="B251" t="inlineStr">
        <is>
          <t>R726.5 .S54 1986</t>
        </is>
      </c>
      <c r="C251" t="inlineStr">
        <is>
          <t>0                      R  0726500S  54          1986</t>
        </is>
      </c>
      <c r="D251" t="inlineStr">
        <is>
          <t>Love, medicine, &amp; miracles : lessons learned about self-healing from a surgeon's experience with exceptional patients / Bernie S. Siegel.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Siegel, Bernie S.</t>
        </is>
      </c>
      <c r="L251" t="inlineStr">
        <is>
          <t>New York : Harper &amp; Row, c1986.</t>
        </is>
      </c>
      <c r="M251" t="inlineStr">
        <is>
          <t>1986</t>
        </is>
      </c>
      <c r="N251" t="inlineStr">
        <is>
          <t>1st ed.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R  </t>
        </is>
      </c>
      <c r="S251" t="n">
        <v>14</v>
      </c>
      <c r="T251" t="n">
        <v>14</v>
      </c>
      <c r="U251" t="inlineStr">
        <is>
          <t>2001-02-22</t>
        </is>
      </c>
      <c r="V251" t="inlineStr">
        <is>
          <t>2001-02-22</t>
        </is>
      </c>
      <c r="W251" t="inlineStr">
        <is>
          <t>1991-12-13</t>
        </is>
      </c>
      <c r="X251" t="inlineStr">
        <is>
          <t>1991-12-13</t>
        </is>
      </c>
      <c r="Y251" t="n">
        <v>1963</v>
      </c>
      <c r="Z251" t="n">
        <v>1899</v>
      </c>
      <c r="AA251" t="n">
        <v>2641</v>
      </c>
      <c r="AB251" t="n">
        <v>19</v>
      </c>
      <c r="AC251" t="n">
        <v>25</v>
      </c>
      <c r="AD251" t="n">
        <v>25</v>
      </c>
      <c r="AE251" t="n">
        <v>44</v>
      </c>
      <c r="AF251" t="n">
        <v>9</v>
      </c>
      <c r="AG251" t="n">
        <v>18</v>
      </c>
      <c r="AH251" t="n">
        <v>3</v>
      </c>
      <c r="AI251" t="n">
        <v>5</v>
      </c>
      <c r="AJ251" t="n">
        <v>9</v>
      </c>
      <c r="AK251" t="n">
        <v>19</v>
      </c>
      <c r="AL251" t="n">
        <v>6</v>
      </c>
      <c r="AM251" t="n">
        <v>9</v>
      </c>
      <c r="AN251" t="n">
        <v>1</v>
      </c>
      <c r="AO251" t="n">
        <v>1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HYPERLINK("https://creighton-primo.hosted.exlibrisgroup.com/primo-explore/search?tab=default_tab&amp;search_scope=EVERYTHING&amp;vid=01CRU&amp;lang=en_US&amp;offset=0&amp;query=any,contains,991005264559702656","Catalog Record")</f>
        <v/>
      </c>
      <c r="AT251">
        <f>HYPERLINK("http://www.worldcat.org/oclc/12724795","WorldCat Record")</f>
        <v/>
      </c>
    </row>
    <row r="252">
      <c r="A252" t="inlineStr">
        <is>
          <t>No</t>
        </is>
      </c>
      <c r="B252" t="inlineStr">
        <is>
          <t>R726.5 .S76</t>
        </is>
      </c>
      <c r="C252" t="inlineStr">
        <is>
          <t>0                      R  0726500S  76</t>
        </is>
      </c>
      <c r="D252" t="inlineStr">
        <is>
          <t>Health psychology : a handbook : theories, applications, and challenges of a psychological approach to the health care system / George C. Stone, Frances Cohen, Nancy E. Adler &amp; associates.</t>
        </is>
      </c>
      <c r="F252" t="inlineStr">
        <is>
          <t>No</t>
        </is>
      </c>
      <c r="G252" t="inlineStr">
        <is>
          <t>1</t>
        </is>
      </c>
      <c r="H252" t="inlineStr">
        <is>
          <t>Yes</t>
        </is>
      </c>
      <c r="I252" t="inlineStr">
        <is>
          <t>No</t>
        </is>
      </c>
      <c r="J252" t="inlineStr">
        <is>
          <t>0</t>
        </is>
      </c>
      <c r="K252" t="inlineStr">
        <is>
          <t>Stone, George Chester.</t>
        </is>
      </c>
      <c r="L252" t="inlineStr">
        <is>
          <t>San Francisco : Jossey-Bass Publishers, 1979.</t>
        </is>
      </c>
      <c r="M252" t="inlineStr">
        <is>
          <t>1979</t>
        </is>
      </c>
      <c r="N252" t="inlineStr">
        <is>
          <t>1st ed.</t>
        </is>
      </c>
      <c r="O252" t="inlineStr">
        <is>
          <t>eng</t>
        </is>
      </c>
      <c r="P252" t="inlineStr">
        <is>
          <t>cau</t>
        </is>
      </c>
      <c r="Q252" t="inlineStr">
        <is>
          <t>The Jossey-Bass social and behavioral science series</t>
        </is>
      </c>
      <c r="R252" t="inlineStr">
        <is>
          <t xml:space="preserve">R  </t>
        </is>
      </c>
      <c r="S252" t="n">
        <v>3</v>
      </c>
      <c r="T252" t="n">
        <v>3</v>
      </c>
      <c r="U252" t="inlineStr">
        <is>
          <t>1999-04-13</t>
        </is>
      </c>
      <c r="V252" t="inlineStr">
        <is>
          <t>1999-04-13</t>
        </is>
      </c>
      <c r="W252" t="inlineStr">
        <is>
          <t>1990-02-20</t>
        </is>
      </c>
      <c r="X252" t="inlineStr">
        <is>
          <t>1990-02-20</t>
        </is>
      </c>
      <c r="Y252" t="n">
        <v>545</v>
      </c>
      <c r="Z252" t="n">
        <v>431</v>
      </c>
      <c r="AA252" t="n">
        <v>440</v>
      </c>
      <c r="AB252" t="n">
        <v>2</v>
      </c>
      <c r="AC252" t="n">
        <v>2</v>
      </c>
      <c r="AD252" t="n">
        <v>22</v>
      </c>
      <c r="AE252" t="n">
        <v>22</v>
      </c>
      <c r="AF252" t="n">
        <v>7</v>
      </c>
      <c r="AG252" t="n">
        <v>7</v>
      </c>
      <c r="AH252" t="n">
        <v>7</v>
      </c>
      <c r="AI252" t="n">
        <v>7</v>
      </c>
      <c r="AJ252" t="n">
        <v>15</v>
      </c>
      <c r="AK252" t="n">
        <v>15</v>
      </c>
      <c r="AL252" t="n">
        <v>1</v>
      </c>
      <c r="AM252" t="n">
        <v>1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HYPERLINK("http://catalog.hathitrust.org/Record/000706262","HathiTrust Record")</f>
        <v/>
      </c>
      <c r="AS252">
        <f>HYPERLINK("https://creighton-primo.hosted.exlibrisgroup.com/primo-explore/search?tab=default_tab&amp;search_scope=EVERYTHING&amp;vid=01CRU&amp;lang=en_US&amp;offset=0&amp;query=any,contains,991004785659702656","Catalog Record")</f>
        <v/>
      </c>
      <c r="AT252">
        <f>HYPERLINK("http://www.worldcat.org/oclc/5273235","WorldCat Record")</f>
        <v/>
      </c>
    </row>
    <row r="253">
      <c r="A253" t="inlineStr">
        <is>
          <t>No</t>
        </is>
      </c>
      <c r="B253" t="inlineStr">
        <is>
          <t>R726.5 .V56</t>
        </is>
      </c>
      <c r="C253" t="inlineStr">
        <is>
          <t>0                      R  0726500V  56</t>
        </is>
      </c>
      <c r="D253" t="inlineStr">
        <is>
          <t>Clinical psychology and medicine : an interdisciplinary approach / Frank James Vingoe ; with contributions by Ian Taylor.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Vingoe, Frank James.</t>
        </is>
      </c>
      <c r="L253" t="inlineStr">
        <is>
          <t>Oxford ; New York : Oxford University Press, 1981.</t>
        </is>
      </c>
      <c r="M253" t="inlineStr">
        <is>
          <t>1980</t>
        </is>
      </c>
      <c r="O253" t="inlineStr">
        <is>
          <t>eng</t>
        </is>
      </c>
      <c r="P253" t="inlineStr">
        <is>
          <t>enk</t>
        </is>
      </c>
      <c r="Q253" t="inlineStr">
        <is>
          <t>Oxford medical publications</t>
        </is>
      </c>
      <c r="R253" t="inlineStr">
        <is>
          <t xml:space="preserve">R  </t>
        </is>
      </c>
      <c r="S253" t="n">
        <v>12</v>
      </c>
      <c r="T253" t="n">
        <v>12</v>
      </c>
      <c r="U253" t="inlineStr">
        <is>
          <t>2007-04-23</t>
        </is>
      </c>
      <c r="V253" t="inlineStr">
        <is>
          <t>2007-04-23</t>
        </is>
      </c>
      <c r="W253" t="inlineStr">
        <is>
          <t>1992-03-09</t>
        </is>
      </c>
      <c r="X253" t="inlineStr">
        <is>
          <t>1992-03-09</t>
        </is>
      </c>
      <c r="Y253" t="n">
        <v>176</v>
      </c>
      <c r="Z253" t="n">
        <v>121</v>
      </c>
      <c r="AA253" t="n">
        <v>123</v>
      </c>
      <c r="AB253" t="n">
        <v>1</v>
      </c>
      <c r="AC253" t="n">
        <v>1</v>
      </c>
      <c r="AD253" t="n">
        <v>1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1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HYPERLINK("http://catalog.hathitrust.org/Record/010089537","HathiTrust Record")</f>
        <v/>
      </c>
      <c r="AS253">
        <f>HYPERLINK("https://creighton-primo.hosted.exlibrisgroup.com/primo-explore/search?tab=default_tab&amp;search_scope=EVERYTHING&amp;vid=01CRU&amp;lang=en_US&amp;offset=0&amp;query=any,contains,991005040999702656","Catalog Record")</f>
        <v/>
      </c>
      <c r="AT253">
        <f>HYPERLINK("http://www.worldcat.org/oclc/6790531","WorldCat Record")</f>
        <v/>
      </c>
    </row>
    <row r="254">
      <c r="A254" t="inlineStr">
        <is>
          <t>No</t>
        </is>
      </c>
      <c r="B254" t="inlineStr">
        <is>
          <t>R726.5 .W54 1980</t>
        </is>
      </c>
      <c r="C254" t="inlineStr">
        <is>
          <t>0                      R  0726500W  54          1980</t>
        </is>
      </c>
      <c r="D254" t="inlineStr">
        <is>
          <t>Behavioural science in medicine / Helen R. Winefield and Marilyn Y. Peay.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Winefield, Helen R.</t>
        </is>
      </c>
      <c r="L254" t="inlineStr">
        <is>
          <t>Baltimore, MD : University Park Press, 1980.</t>
        </is>
      </c>
      <c r="M254" t="inlineStr">
        <is>
          <t>1980</t>
        </is>
      </c>
      <c r="O254" t="inlineStr">
        <is>
          <t>eng</t>
        </is>
      </c>
      <c r="P254" t="inlineStr">
        <is>
          <t>mdu</t>
        </is>
      </c>
      <c r="R254" t="inlineStr">
        <is>
          <t xml:space="preserve">R  </t>
        </is>
      </c>
      <c r="S254" t="n">
        <v>2</v>
      </c>
      <c r="T254" t="n">
        <v>2</v>
      </c>
      <c r="U254" t="inlineStr">
        <is>
          <t>1996-10-29</t>
        </is>
      </c>
      <c r="V254" t="inlineStr">
        <is>
          <t>1996-10-29</t>
        </is>
      </c>
      <c r="W254" t="inlineStr">
        <is>
          <t>1992-03-09</t>
        </is>
      </c>
      <c r="X254" t="inlineStr">
        <is>
          <t>1992-03-09</t>
        </is>
      </c>
      <c r="Y254" t="n">
        <v>114</v>
      </c>
      <c r="Z254" t="n">
        <v>95</v>
      </c>
      <c r="AA254" t="n">
        <v>109</v>
      </c>
      <c r="AB254" t="n">
        <v>1</v>
      </c>
      <c r="AC254" t="n">
        <v>1</v>
      </c>
      <c r="AD254" t="n">
        <v>5</v>
      </c>
      <c r="AE254" t="n">
        <v>5</v>
      </c>
      <c r="AF254" t="n">
        <v>2</v>
      </c>
      <c r="AG254" t="n">
        <v>2</v>
      </c>
      <c r="AH254" t="n">
        <v>0</v>
      </c>
      <c r="AI254" t="n">
        <v>0</v>
      </c>
      <c r="AJ254" t="n">
        <v>5</v>
      </c>
      <c r="AK254" t="n">
        <v>5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HYPERLINK("https://creighton-primo.hosted.exlibrisgroup.com/primo-explore/search?tab=default_tab&amp;search_scope=EVERYTHING&amp;vid=01CRU&amp;lang=en_US&amp;offset=0&amp;query=any,contains,991004878749702656","Catalog Record")</f>
        <v/>
      </c>
      <c r="AT254">
        <f>HYPERLINK("http://www.worldcat.org/oclc/12836540","WorldCat Record")</f>
        <v/>
      </c>
    </row>
    <row r="255">
      <c r="A255" t="inlineStr">
        <is>
          <t>No</t>
        </is>
      </c>
      <c r="B255" t="inlineStr">
        <is>
          <t>R726.7 .B54 1994</t>
        </is>
      </c>
      <c r="C255" t="inlineStr">
        <is>
          <t>0                      R  0726700B  54          1994</t>
        </is>
      </c>
      <c r="D255" t="inlineStr">
        <is>
          <t>Health psychology : integrating mind and body / George D. Bishop.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Bishop, George D.</t>
        </is>
      </c>
      <c r="L255" t="inlineStr">
        <is>
          <t>Boston : Allyn and Bacon, c1994.</t>
        </is>
      </c>
      <c r="M255" t="inlineStr">
        <is>
          <t>1994</t>
        </is>
      </c>
      <c r="O255" t="inlineStr">
        <is>
          <t>eng</t>
        </is>
      </c>
      <c r="P255" t="inlineStr">
        <is>
          <t>mau</t>
        </is>
      </c>
      <c r="R255" t="inlineStr">
        <is>
          <t xml:space="preserve">R  </t>
        </is>
      </c>
      <c r="S255" t="n">
        <v>16</v>
      </c>
      <c r="T255" t="n">
        <v>16</v>
      </c>
      <c r="U255" t="inlineStr">
        <is>
          <t>2005-04-26</t>
        </is>
      </c>
      <c r="V255" t="inlineStr">
        <is>
          <t>2005-04-26</t>
        </is>
      </c>
      <c r="W255" t="inlineStr">
        <is>
          <t>1996-06-13</t>
        </is>
      </c>
      <c r="X255" t="inlineStr">
        <is>
          <t>1996-06-13</t>
        </is>
      </c>
      <c r="Y255" t="n">
        <v>153</v>
      </c>
      <c r="Z255" t="n">
        <v>62</v>
      </c>
      <c r="AA255" t="n">
        <v>68</v>
      </c>
      <c r="AB255" t="n">
        <v>2</v>
      </c>
      <c r="AC255" t="n">
        <v>2</v>
      </c>
      <c r="AD255" t="n">
        <v>4</v>
      </c>
      <c r="AE255" t="n">
        <v>4</v>
      </c>
      <c r="AF255" t="n">
        <v>2</v>
      </c>
      <c r="AG255" t="n">
        <v>2</v>
      </c>
      <c r="AH255" t="n">
        <v>0</v>
      </c>
      <c r="AI255" t="n">
        <v>0</v>
      </c>
      <c r="AJ255" t="n">
        <v>2</v>
      </c>
      <c r="AK255" t="n">
        <v>2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HYPERLINK("http://catalog.hathitrust.org/Record/003000514","HathiTrust Record")</f>
        <v/>
      </c>
      <c r="AS255">
        <f>HYPERLINK("https://creighton-primo.hosted.exlibrisgroup.com/primo-explore/search?tab=default_tab&amp;search_scope=EVERYTHING&amp;vid=01CRU&amp;lang=en_US&amp;offset=0&amp;query=any,contains,991002170539702656","Catalog Record")</f>
        <v/>
      </c>
      <c r="AT255">
        <f>HYPERLINK("http://www.worldcat.org/oclc/27935885","WorldCat Record")</f>
        <v/>
      </c>
    </row>
    <row r="256">
      <c r="A256" t="inlineStr">
        <is>
          <t>No</t>
        </is>
      </c>
      <c r="B256" t="inlineStr">
        <is>
          <t>R726.7 .C48 1999</t>
        </is>
      </c>
      <c r="C256" t="inlineStr">
        <is>
          <t>0                      R  0726700C  48          1999</t>
        </is>
      </c>
      <c r="D256" t="inlineStr">
        <is>
          <t>Why do we fall ill? : the story hiding in the body / Luis A. Chiozza.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Chiozza, Luis A.</t>
        </is>
      </c>
      <c r="L256" t="inlineStr">
        <is>
          <t>Madison, Conn. : Psychosocial Press, c1999.</t>
        </is>
      </c>
      <c r="M256" t="inlineStr">
        <is>
          <t>1999</t>
        </is>
      </c>
      <c r="O256" t="inlineStr">
        <is>
          <t>eng</t>
        </is>
      </c>
      <c r="P256" t="inlineStr">
        <is>
          <t>ctu</t>
        </is>
      </c>
      <c r="R256" t="inlineStr">
        <is>
          <t xml:space="preserve">R  </t>
        </is>
      </c>
      <c r="S256" t="n">
        <v>1</v>
      </c>
      <c r="T256" t="n">
        <v>1</v>
      </c>
      <c r="U256" t="inlineStr">
        <is>
          <t>2001-01-08</t>
        </is>
      </c>
      <c r="V256" t="inlineStr">
        <is>
          <t>2001-01-08</t>
        </is>
      </c>
      <c r="W256" t="inlineStr">
        <is>
          <t>2001-01-08</t>
        </is>
      </c>
      <c r="X256" t="inlineStr">
        <is>
          <t>2001-01-08</t>
        </is>
      </c>
      <c r="Y256" t="n">
        <v>115</v>
      </c>
      <c r="Z256" t="n">
        <v>97</v>
      </c>
      <c r="AA256" t="n">
        <v>99</v>
      </c>
      <c r="AB256" t="n">
        <v>1</v>
      </c>
      <c r="AC256" t="n">
        <v>1</v>
      </c>
      <c r="AD256" t="n">
        <v>4</v>
      </c>
      <c r="AE256" t="n">
        <v>4</v>
      </c>
      <c r="AF256" t="n">
        <v>0</v>
      </c>
      <c r="AG256" t="n">
        <v>0</v>
      </c>
      <c r="AH256" t="n">
        <v>1</v>
      </c>
      <c r="AI256" t="n">
        <v>1</v>
      </c>
      <c r="AJ256" t="n">
        <v>4</v>
      </c>
      <c r="AK256" t="n">
        <v>4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HYPERLINK("http://catalog.hathitrust.org/Record/004076668","HathiTrust Record")</f>
        <v/>
      </c>
      <c r="AS256">
        <f>HYPERLINK("https://creighton-primo.hosted.exlibrisgroup.com/primo-explore/search?tab=default_tab&amp;search_scope=EVERYTHING&amp;vid=01CRU&amp;lang=en_US&amp;offset=0&amp;query=any,contains,991003244959702656","Catalog Record")</f>
        <v/>
      </c>
      <c r="AT256">
        <f>HYPERLINK("http://www.worldcat.org/oclc/39269601","WorldCat Record")</f>
        <v/>
      </c>
    </row>
    <row r="257">
      <c r="A257" t="inlineStr">
        <is>
          <t>No</t>
        </is>
      </c>
      <c r="B257" t="inlineStr">
        <is>
          <t>R726.7 .F754 1991</t>
        </is>
      </c>
      <c r="C257" t="inlineStr">
        <is>
          <t>0                      R  0726700F  754         1991</t>
        </is>
      </c>
      <c r="D257" t="inlineStr">
        <is>
          <t>The self-healing personality : why some people achieve health and others succumb to illness / Howard S. Friedman.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Friedman, Howard S.</t>
        </is>
      </c>
      <c r="L257" t="inlineStr">
        <is>
          <t>New York : H. Holt, c1991.</t>
        </is>
      </c>
      <c r="M257" t="inlineStr">
        <is>
          <t>1991</t>
        </is>
      </c>
      <c r="N257" t="inlineStr">
        <is>
          <t>1st ed.</t>
        </is>
      </c>
      <c r="O257" t="inlineStr">
        <is>
          <t>eng</t>
        </is>
      </c>
      <c r="P257" t="inlineStr">
        <is>
          <t>nyu</t>
        </is>
      </c>
      <c r="R257" t="inlineStr">
        <is>
          <t xml:space="preserve">R  </t>
        </is>
      </c>
      <c r="S257" t="n">
        <v>13</v>
      </c>
      <c r="T257" t="n">
        <v>13</v>
      </c>
      <c r="U257" t="inlineStr">
        <is>
          <t>1999-02-14</t>
        </is>
      </c>
      <c r="V257" t="inlineStr">
        <is>
          <t>1999-02-14</t>
        </is>
      </c>
      <c r="W257" t="inlineStr">
        <is>
          <t>1992-03-06</t>
        </is>
      </c>
      <c r="X257" t="inlineStr">
        <is>
          <t>1992-03-06</t>
        </is>
      </c>
      <c r="Y257" t="n">
        <v>275</v>
      </c>
      <c r="Z257" t="n">
        <v>248</v>
      </c>
      <c r="AA257" t="n">
        <v>290</v>
      </c>
      <c r="AB257" t="n">
        <v>1</v>
      </c>
      <c r="AC257" t="n">
        <v>1</v>
      </c>
      <c r="AD257" t="n">
        <v>7</v>
      </c>
      <c r="AE257" t="n">
        <v>7</v>
      </c>
      <c r="AF257" t="n">
        <v>2</v>
      </c>
      <c r="AG257" t="n">
        <v>2</v>
      </c>
      <c r="AH257" t="n">
        <v>1</v>
      </c>
      <c r="AI257" t="n">
        <v>1</v>
      </c>
      <c r="AJ257" t="n">
        <v>5</v>
      </c>
      <c r="AK257" t="n">
        <v>5</v>
      </c>
      <c r="AL257" t="n">
        <v>0</v>
      </c>
      <c r="AM257" t="n">
        <v>0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HYPERLINK("https://creighton-primo.hosted.exlibrisgroup.com/primo-explore/search?tab=default_tab&amp;search_scope=EVERYTHING&amp;vid=01CRU&amp;lang=en_US&amp;offset=0&amp;query=any,contains,991001715699702656","Catalog Record")</f>
        <v/>
      </c>
      <c r="AT257">
        <f>HYPERLINK("http://www.worldcat.org/oclc/21676395","WorldCat Record")</f>
        <v/>
      </c>
    </row>
    <row r="258">
      <c r="A258" t="inlineStr">
        <is>
          <t>No</t>
        </is>
      </c>
      <c r="B258" t="inlineStr">
        <is>
          <t>R726.7 .G375 2003</t>
        </is>
      </c>
      <c r="C258" t="inlineStr">
        <is>
          <t>0                      R  0726700G  375         2003</t>
        </is>
      </c>
      <c r="D258" t="inlineStr">
        <is>
          <t>Clinical health psychology and primary care : practical advice and clinical guidance for successful collaboration / Robert J. Gatchel and Mark S. Oordt.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Gatchel, Robert J., 1947-</t>
        </is>
      </c>
      <c r="L258" t="inlineStr">
        <is>
          <t>Washington, DC : American Psychological Association, c2003.</t>
        </is>
      </c>
      <c r="M258" t="inlineStr">
        <is>
          <t>2003</t>
        </is>
      </c>
      <c r="N258" t="inlineStr">
        <is>
          <t>1st ed.</t>
        </is>
      </c>
      <c r="O258" t="inlineStr">
        <is>
          <t>eng</t>
        </is>
      </c>
      <c r="P258" t="inlineStr">
        <is>
          <t>dcu</t>
        </is>
      </c>
      <c r="R258" t="inlineStr">
        <is>
          <t xml:space="preserve">R  </t>
        </is>
      </c>
      <c r="S258" t="n">
        <v>3</v>
      </c>
      <c r="T258" t="n">
        <v>3</v>
      </c>
      <c r="U258" t="inlineStr">
        <is>
          <t>2009-10-12</t>
        </is>
      </c>
      <c r="V258" t="inlineStr">
        <is>
          <t>2009-10-12</t>
        </is>
      </c>
      <c r="W258" t="inlineStr">
        <is>
          <t>2003-03-24</t>
        </is>
      </c>
      <c r="X258" t="inlineStr">
        <is>
          <t>2003-03-24</t>
        </is>
      </c>
      <c r="Y258" t="n">
        <v>288</v>
      </c>
      <c r="Z258" t="n">
        <v>214</v>
      </c>
      <c r="AA258" t="n">
        <v>301</v>
      </c>
      <c r="AB258" t="n">
        <v>1</v>
      </c>
      <c r="AC258" t="n">
        <v>2</v>
      </c>
      <c r="AD258" t="n">
        <v>6</v>
      </c>
      <c r="AE258" t="n">
        <v>13</v>
      </c>
      <c r="AF258" t="n">
        <v>2</v>
      </c>
      <c r="AG258" t="n">
        <v>4</v>
      </c>
      <c r="AH258" t="n">
        <v>3</v>
      </c>
      <c r="AI258" t="n">
        <v>3</v>
      </c>
      <c r="AJ258" t="n">
        <v>6</v>
      </c>
      <c r="AK258" t="n">
        <v>10</v>
      </c>
      <c r="AL258" t="n">
        <v>0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HYPERLINK("https://creighton-primo.hosted.exlibrisgroup.com/primo-explore/search?tab=default_tab&amp;search_scope=EVERYTHING&amp;vid=01CRU&amp;lang=en_US&amp;offset=0&amp;query=any,contains,991003988719702656","Catalog Record")</f>
        <v/>
      </c>
      <c r="AT258">
        <f>HYPERLINK("http://www.worldcat.org/oclc/51216223","WorldCat Record")</f>
        <v/>
      </c>
    </row>
    <row r="259">
      <c r="A259" t="inlineStr">
        <is>
          <t>No</t>
        </is>
      </c>
      <c r="B259" t="inlineStr">
        <is>
          <t>R726.7 .H354 2002</t>
        </is>
      </c>
      <c r="C259" t="inlineStr">
        <is>
          <t>0                      R  0726700H  354         2002</t>
        </is>
      </c>
      <c r="D259" t="inlineStr">
        <is>
          <t>Handbook of clinical health psychology / edited by Suzanne Bennett Johnson, Nathan Perry, and Ronald H. Rozensky.</t>
        </is>
      </c>
      <c r="E259" t="inlineStr">
        <is>
          <t>V. 1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Washington, DC : American Psychological Association, c2002-</t>
        </is>
      </c>
      <c r="M259" t="inlineStr">
        <is>
          <t>2002</t>
        </is>
      </c>
      <c r="N259" t="inlineStr">
        <is>
          <t>1st ed.</t>
        </is>
      </c>
      <c r="O259" t="inlineStr">
        <is>
          <t>eng</t>
        </is>
      </c>
      <c r="P259" t="inlineStr">
        <is>
          <t>dcu</t>
        </is>
      </c>
      <c r="R259" t="inlineStr">
        <is>
          <t xml:space="preserve">R  </t>
        </is>
      </c>
      <c r="S259" t="n">
        <v>1</v>
      </c>
      <c r="T259" t="n">
        <v>1</v>
      </c>
      <c r="U259" t="inlineStr">
        <is>
          <t>2002-06-20</t>
        </is>
      </c>
      <c r="V259" t="inlineStr">
        <is>
          <t>2002-06-20</t>
        </is>
      </c>
      <c r="W259" t="inlineStr">
        <is>
          <t>2002-06-10</t>
        </is>
      </c>
      <c r="X259" t="inlineStr">
        <is>
          <t>2002-06-10</t>
        </is>
      </c>
      <c r="Y259" t="n">
        <v>509</v>
      </c>
      <c r="Z259" t="n">
        <v>424</v>
      </c>
      <c r="AA259" t="n">
        <v>450</v>
      </c>
      <c r="AB259" t="n">
        <v>2</v>
      </c>
      <c r="AC259" t="n">
        <v>2</v>
      </c>
      <c r="AD259" t="n">
        <v>19</v>
      </c>
      <c r="AE259" t="n">
        <v>19</v>
      </c>
      <c r="AF259" t="n">
        <v>10</v>
      </c>
      <c r="AG259" t="n">
        <v>10</v>
      </c>
      <c r="AH259" t="n">
        <v>3</v>
      </c>
      <c r="AI259" t="n">
        <v>3</v>
      </c>
      <c r="AJ259" t="n">
        <v>10</v>
      </c>
      <c r="AK259" t="n">
        <v>10</v>
      </c>
      <c r="AL259" t="n">
        <v>1</v>
      </c>
      <c r="AM259" t="n">
        <v>1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HYPERLINK("https://creighton-primo.hosted.exlibrisgroup.com/primo-explore/search?tab=default_tab&amp;search_scope=EVERYTHING&amp;vid=01CRU&amp;lang=en_US&amp;offset=0&amp;query=any,contains,991003773879702656","Catalog Record")</f>
        <v/>
      </c>
      <c r="AT259">
        <f>HYPERLINK("http://www.worldcat.org/oclc/48892210","WorldCat Record")</f>
        <v/>
      </c>
    </row>
    <row r="260">
      <c r="A260" t="inlineStr">
        <is>
          <t>No</t>
        </is>
      </c>
      <c r="B260" t="inlineStr">
        <is>
          <t>R726.7 .H3645 2001</t>
        </is>
      </c>
      <c r="C260" t="inlineStr">
        <is>
          <t>0                      R  0726700H  3645        2001</t>
        </is>
      </c>
      <c r="D260" t="inlineStr">
        <is>
          <t>Handbook of health psychology / [edited by] Andrew Baum, Tracey A. Revenson, Jerome E. Singer.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Mahwah, N.J. : Lawrence Erlbaum Associates, c2001.</t>
        </is>
      </c>
      <c r="M260" t="inlineStr">
        <is>
          <t>2001</t>
        </is>
      </c>
      <c r="O260" t="inlineStr">
        <is>
          <t>eng</t>
        </is>
      </c>
      <c r="P260" t="inlineStr">
        <is>
          <t>nju</t>
        </is>
      </c>
      <c r="R260" t="inlineStr">
        <is>
          <t xml:space="preserve">R  </t>
        </is>
      </c>
      <c r="S260" t="n">
        <v>2</v>
      </c>
      <c r="T260" t="n">
        <v>2</v>
      </c>
      <c r="U260" t="inlineStr">
        <is>
          <t>2007-08-24</t>
        </is>
      </c>
      <c r="V260" t="inlineStr">
        <is>
          <t>2007-08-24</t>
        </is>
      </c>
      <c r="W260" t="inlineStr">
        <is>
          <t>2001-09-17</t>
        </is>
      </c>
      <c r="X260" t="inlineStr">
        <is>
          <t>2001-09-17</t>
        </is>
      </c>
      <c r="Y260" t="n">
        <v>492</v>
      </c>
      <c r="Z260" t="n">
        <v>385</v>
      </c>
      <c r="AA260" t="n">
        <v>1063</v>
      </c>
      <c r="AB260" t="n">
        <v>2</v>
      </c>
      <c r="AC260" t="n">
        <v>4</v>
      </c>
      <c r="AD260" t="n">
        <v>18</v>
      </c>
      <c r="AE260" t="n">
        <v>30</v>
      </c>
      <c r="AF260" t="n">
        <v>9</v>
      </c>
      <c r="AG260" t="n">
        <v>13</v>
      </c>
      <c r="AH260" t="n">
        <v>2</v>
      </c>
      <c r="AI260" t="n">
        <v>6</v>
      </c>
      <c r="AJ260" t="n">
        <v>12</v>
      </c>
      <c r="AK260" t="n">
        <v>18</v>
      </c>
      <c r="AL260" t="n">
        <v>1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HYPERLINK("https://creighton-primo.hosted.exlibrisgroup.com/primo-explore/search?tab=default_tab&amp;search_scope=EVERYTHING&amp;vid=01CRU&amp;lang=en_US&amp;offset=0&amp;query=any,contains,991003582969702656","Catalog Record")</f>
        <v/>
      </c>
      <c r="AT260">
        <f>HYPERLINK("http://www.worldcat.org/oclc/44812281","WorldCat Record")</f>
        <v/>
      </c>
    </row>
    <row r="261">
      <c r="A261" t="inlineStr">
        <is>
          <t>No</t>
        </is>
      </c>
      <c r="B261" t="inlineStr">
        <is>
          <t>R726.7 .H365 2010</t>
        </is>
      </c>
      <c r="C261" t="inlineStr">
        <is>
          <t>0                      R  0726700H  365         2010</t>
        </is>
      </c>
      <c r="D261" t="inlineStr">
        <is>
          <t>Handbook of health psychology and behavioral medicine / edited by Jerry M. Suls, Karina W. Davidson, Robert M. Kaplan.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L261" t="inlineStr">
        <is>
          <t>New York : Guilford Press, c2010.</t>
        </is>
      </c>
      <c r="M261" t="inlineStr">
        <is>
          <t>2010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R  </t>
        </is>
      </c>
      <c r="S261" t="n">
        <v>4</v>
      </c>
      <c r="T261" t="n">
        <v>4</v>
      </c>
      <c r="U261" t="inlineStr">
        <is>
          <t>2010-10-05</t>
        </is>
      </c>
      <c r="V261" t="inlineStr">
        <is>
          <t>2010-10-05</t>
        </is>
      </c>
      <c r="W261" t="inlineStr">
        <is>
          <t>2010-10-05</t>
        </is>
      </c>
      <c r="X261" t="inlineStr">
        <is>
          <t>2010-10-05</t>
        </is>
      </c>
      <c r="Y261" t="n">
        <v>201</v>
      </c>
      <c r="Z261" t="n">
        <v>120</v>
      </c>
      <c r="AA261" t="n">
        <v>178</v>
      </c>
      <c r="AB261" t="n">
        <v>1</v>
      </c>
      <c r="AC261" t="n">
        <v>1</v>
      </c>
      <c r="AD261" t="n">
        <v>4</v>
      </c>
      <c r="AE261" t="n">
        <v>6</v>
      </c>
      <c r="AF261" t="n">
        <v>3</v>
      </c>
      <c r="AG261" t="n">
        <v>3</v>
      </c>
      <c r="AH261" t="n">
        <v>0</v>
      </c>
      <c r="AI261" t="n">
        <v>1</v>
      </c>
      <c r="AJ261" t="n">
        <v>1</v>
      </c>
      <c r="AK261" t="n">
        <v>1</v>
      </c>
      <c r="AL261" t="n">
        <v>0</v>
      </c>
      <c r="AM261" t="n">
        <v>0</v>
      </c>
      <c r="AN261" t="n">
        <v>0</v>
      </c>
      <c r="AO261" t="n">
        <v>1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HYPERLINK("https://creighton-primo.hosted.exlibrisgroup.com/primo-explore/search?tab=default_tab&amp;search_scope=EVERYTHING&amp;vid=01CRU&amp;lang=en_US&amp;offset=0&amp;query=any,contains,991000156979702656","Catalog Record")</f>
        <v/>
      </c>
      <c r="AT261">
        <f>HYPERLINK("http://www.worldcat.org/oclc/551342344","WorldCat Record")</f>
        <v/>
      </c>
    </row>
    <row r="262">
      <c r="A262" t="inlineStr">
        <is>
          <t>No</t>
        </is>
      </c>
      <c r="B262" t="inlineStr">
        <is>
          <t>R726.7 .H4335 1987</t>
        </is>
      </c>
      <c r="C262" t="inlineStr">
        <is>
          <t>0                      R  0726700H  4335        1987</t>
        </is>
      </c>
      <c r="D262" t="inlineStr">
        <is>
          <t>Health psychology : a discipline and a profession / edited by George C. Stone ... [et al.].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Chicago : University of Chicago Press, 1987.</t>
        </is>
      </c>
      <c r="M262" t="inlineStr">
        <is>
          <t>1987</t>
        </is>
      </c>
      <c r="O262" t="inlineStr">
        <is>
          <t>eng</t>
        </is>
      </c>
      <c r="P262" t="inlineStr">
        <is>
          <t>ilu</t>
        </is>
      </c>
      <c r="R262" t="inlineStr">
        <is>
          <t xml:space="preserve">R  </t>
        </is>
      </c>
      <c r="S262" t="n">
        <v>6</v>
      </c>
      <c r="T262" t="n">
        <v>6</v>
      </c>
      <c r="U262" t="inlineStr">
        <is>
          <t>1997-02-14</t>
        </is>
      </c>
      <c r="V262" t="inlineStr">
        <is>
          <t>1997-02-14</t>
        </is>
      </c>
      <c r="W262" t="inlineStr">
        <is>
          <t>1990-02-15</t>
        </is>
      </c>
      <c r="X262" t="inlineStr">
        <is>
          <t>1990-02-15</t>
        </is>
      </c>
      <c r="Y262" t="n">
        <v>260</v>
      </c>
      <c r="Z262" t="n">
        <v>203</v>
      </c>
      <c r="AA262" t="n">
        <v>203</v>
      </c>
      <c r="AB262" t="n">
        <v>2</v>
      </c>
      <c r="AC262" t="n">
        <v>2</v>
      </c>
      <c r="AD262" t="n">
        <v>9</v>
      </c>
      <c r="AE262" t="n">
        <v>9</v>
      </c>
      <c r="AF262" t="n">
        <v>2</v>
      </c>
      <c r="AG262" t="n">
        <v>2</v>
      </c>
      <c r="AH262" t="n">
        <v>2</v>
      </c>
      <c r="AI262" t="n">
        <v>2</v>
      </c>
      <c r="AJ262" t="n">
        <v>7</v>
      </c>
      <c r="AK262" t="n">
        <v>7</v>
      </c>
      <c r="AL262" t="n">
        <v>1</v>
      </c>
      <c r="AM262" t="n">
        <v>1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HYPERLINK("https://creighton-primo.hosted.exlibrisgroup.com/primo-explore/search?tab=default_tab&amp;search_scope=EVERYTHING&amp;vid=01CRU&amp;lang=en_US&amp;offset=0&amp;query=any,contains,991000961769702656","Catalog Record")</f>
        <v/>
      </c>
      <c r="AT262">
        <f>HYPERLINK("http://www.worldcat.org/oclc/14819127","WorldCat Record")</f>
        <v/>
      </c>
    </row>
    <row r="263">
      <c r="A263" t="inlineStr">
        <is>
          <t>No</t>
        </is>
      </c>
      <c r="B263" t="inlineStr">
        <is>
          <t>R726.7 .H439 1996</t>
        </is>
      </c>
      <c r="C263" t="inlineStr">
        <is>
          <t>0                      R  0726700H  439         1996</t>
        </is>
      </c>
      <c r="D263" t="inlineStr">
        <is>
          <t>Health psychology through the life span : practice and research opportunities / edited by Robert J. Resnick, Ronald H. Rozensky.</t>
        </is>
      </c>
      <c r="F263" t="inlineStr">
        <is>
          <t>No</t>
        </is>
      </c>
      <c r="G263" t="inlineStr">
        <is>
          <t>1</t>
        </is>
      </c>
      <c r="H263" t="inlineStr">
        <is>
          <t>Yes</t>
        </is>
      </c>
      <c r="I263" t="inlineStr">
        <is>
          <t>No</t>
        </is>
      </c>
      <c r="J263" t="inlineStr">
        <is>
          <t>0</t>
        </is>
      </c>
      <c r="L263" t="inlineStr">
        <is>
          <t>Washington, DC : American Psychological Association, c1996.</t>
        </is>
      </c>
      <c r="M263" t="inlineStr">
        <is>
          <t>1996</t>
        </is>
      </c>
      <c r="N263" t="inlineStr">
        <is>
          <t>1st ed.</t>
        </is>
      </c>
      <c r="O263" t="inlineStr">
        <is>
          <t>eng</t>
        </is>
      </c>
      <c r="P263" t="inlineStr">
        <is>
          <t>dcu</t>
        </is>
      </c>
      <c r="R263" t="inlineStr">
        <is>
          <t xml:space="preserve">R  </t>
        </is>
      </c>
      <c r="S263" t="n">
        <v>3</v>
      </c>
      <c r="T263" t="n">
        <v>3</v>
      </c>
      <c r="U263" t="inlineStr">
        <is>
          <t>2000-08-22</t>
        </is>
      </c>
      <c r="V263" t="inlineStr">
        <is>
          <t>2000-08-22</t>
        </is>
      </c>
      <c r="W263" t="inlineStr">
        <is>
          <t>1999-04-13</t>
        </is>
      </c>
      <c r="X263" t="inlineStr">
        <is>
          <t>2002-06-18</t>
        </is>
      </c>
      <c r="Y263" t="n">
        <v>481</v>
      </c>
      <c r="Z263" t="n">
        <v>387</v>
      </c>
      <c r="AA263" t="n">
        <v>461</v>
      </c>
      <c r="AB263" t="n">
        <v>2</v>
      </c>
      <c r="AC263" t="n">
        <v>3</v>
      </c>
      <c r="AD263" t="n">
        <v>20</v>
      </c>
      <c r="AE263" t="n">
        <v>23</v>
      </c>
      <c r="AF263" t="n">
        <v>7</v>
      </c>
      <c r="AG263" t="n">
        <v>8</v>
      </c>
      <c r="AH263" t="n">
        <v>5</v>
      </c>
      <c r="AI263" t="n">
        <v>5</v>
      </c>
      <c r="AJ263" t="n">
        <v>13</v>
      </c>
      <c r="AK263" t="n">
        <v>14</v>
      </c>
      <c r="AL263" t="n">
        <v>1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HYPERLINK("https://creighton-primo.hosted.exlibrisgroup.com/primo-explore/search?tab=default_tab&amp;search_scope=EVERYTHING&amp;vid=01CRU&amp;lang=en_US&amp;offset=0&amp;query=any,contains,991001812889702656","Catalog Record")</f>
        <v/>
      </c>
      <c r="AT263">
        <f>HYPERLINK("http://www.worldcat.org/oclc/35325353","WorldCat Record")</f>
        <v/>
      </c>
    </row>
    <row r="264">
      <c r="A264" t="inlineStr">
        <is>
          <t>No</t>
        </is>
      </c>
      <c r="B264" t="inlineStr">
        <is>
          <t>R726.7 .S68 1989</t>
        </is>
      </c>
      <c r="C264" t="inlineStr">
        <is>
          <t>0                      R  0726700S  68          1989</t>
        </is>
      </c>
      <c r="D264" t="inlineStr">
        <is>
          <t>Health psychology and behavioral medicine / James J. Snyder.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Snyder, James J.</t>
        </is>
      </c>
      <c r="L264" t="inlineStr">
        <is>
          <t>Englewood Cliffs, N.Y. : Prentice Hall, c1989.</t>
        </is>
      </c>
      <c r="M264" t="inlineStr">
        <is>
          <t>1989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R  </t>
        </is>
      </c>
      <c r="S264" t="n">
        <v>12</v>
      </c>
      <c r="T264" t="n">
        <v>12</v>
      </c>
      <c r="U264" t="inlineStr">
        <is>
          <t>1997-04-21</t>
        </is>
      </c>
      <c r="V264" t="inlineStr">
        <is>
          <t>1997-04-21</t>
        </is>
      </c>
      <c r="W264" t="inlineStr">
        <is>
          <t>1991-08-06</t>
        </is>
      </c>
      <c r="X264" t="inlineStr">
        <is>
          <t>1991-08-06</t>
        </is>
      </c>
      <c r="Y264" t="n">
        <v>127</v>
      </c>
      <c r="Z264" t="n">
        <v>93</v>
      </c>
      <c r="AA264" t="n">
        <v>93</v>
      </c>
      <c r="AB264" t="n">
        <v>1</v>
      </c>
      <c r="AC264" t="n">
        <v>1</v>
      </c>
      <c r="AD264" t="n">
        <v>5</v>
      </c>
      <c r="AE264" t="n">
        <v>5</v>
      </c>
      <c r="AF264" t="n">
        <v>1</v>
      </c>
      <c r="AG264" t="n">
        <v>1</v>
      </c>
      <c r="AH264" t="n">
        <v>1</v>
      </c>
      <c r="AI264" t="n">
        <v>1</v>
      </c>
      <c r="AJ264" t="n">
        <v>3</v>
      </c>
      <c r="AK264" t="n">
        <v>3</v>
      </c>
      <c r="AL264" t="n">
        <v>0</v>
      </c>
      <c r="AM264" t="n">
        <v>0</v>
      </c>
      <c r="AN264" t="n">
        <v>0</v>
      </c>
      <c r="AO264" t="n">
        <v>0</v>
      </c>
      <c r="AP264" t="inlineStr">
        <is>
          <t>No</t>
        </is>
      </c>
      <c r="AQ264" t="inlineStr">
        <is>
          <t>No</t>
        </is>
      </c>
      <c r="AS264">
        <f>HYPERLINK("https://creighton-primo.hosted.exlibrisgroup.com/primo-explore/search?tab=default_tab&amp;search_scope=EVERYTHING&amp;vid=01CRU&amp;lang=en_US&amp;offset=0&amp;query=any,contains,991001400479702656","Catalog Record")</f>
        <v/>
      </c>
      <c r="AT264">
        <f>HYPERLINK("http://www.worldcat.org/oclc/18816893","WorldCat Record")</f>
        <v/>
      </c>
    </row>
    <row r="265">
      <c r="A265" t="inlineStr">
        <is>
          <t>No</t>
        </is>
      </c>
      <c r="B265" t="inlineStr">
        <is>
          <t>R726.8 .A57</t>
        </is>
      </c>
      <c r="C265" t="inlineStr">
        <is>
          <t>0                      R  0726800A  57</t>
        </is>
      </c>
      <c r="D265" t="inlineStr">
        <is>
          <t>Anticipatory grief / edited by Bernard Schoenberg [and others] With the editorial assistance of Lillian G. Kutscher.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New York : Columbia University Press, [1974]</t>
        </is>
      </c>
      <c r="M265" t="inlineStr">
        <is>
          <t>1974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R  </t>
        </is>
      </c>
      <c r="S265" t="n">
        <v>3</v>
      </c>
      <c r="T265" t="n">
        <v>3</v>
      </c>
      <c r="U265" t="inlineStr">
        <is>
          <t>1995-03-26</t>
        </is>
      </c>
      <c r="V265" t="inlineStr">
        <is>
          <t>1995-03-26</t>
        </is>
      </c>
      <c r="W265" t="inlineStr">
        <is>
          <t>1991-10-16</t>
        </is>
      </c>
      <c r="X265" t="inlineStr">
        <is>
          <t>1991-10-16</t>
        </is>
      </c>
      <c r="Y265" t="n">
        <v>836</v>
      </c>
      <c r="Z265" t="n">
        <v>732</v>
      </c>
      <c r="AA265" t="n">
        <v>733</v>
      </c>
      <c r="AB265" t="n">
        <v>9</v>
      </c>
      <c r="AC265" t="n">
        <v>9</v>
      </c>
      <c r="AD265" t="n">
        <v>31</v>
      </c>
      <c r="AE265" t="n">
        <v>31</v>
      </c>
      <c r="AF265" t="n">
        <v>11</v>
      </c>
      <c r="AG265" t="n">
        <v>11</v>
      </c>
      <c r="AH265" t="n">
        <v>5</v>
      </c>
      <c r="AI265" t="n">
        <v>5</v>
      </c>
      <c r="AJ265" t="n">
        <v>15</v>
      </c>
      <c r="AK265" t="n">
        <v>15</v>
      </c>
      <c r="AL265" t="n">
        <v>7</v>
      </c>
      <c r="AM265" t="n">
        <v>7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HYPERLINK("https://creighton-primo.hosted.exlibrisgroup.com/primo-explore/search?tab=default_tab&amp;search_scope=EVERYTHING&amp;vid=01CRU&amp;lang=en_US&amp;offset=0&amp;query=any,contains,991003289389702656","Catalog Record")</f>
        <v/>
      </c>
      <c r="AT265">
        <f>HYPERLINK("http://www.worldcat.org/oclc/811015","WorldCat Record")</f>
        <v/>
      </c>
    </row>
    <row r="266">
      <c r="A266" t="inlineStr">
        <is>
          <t>No</t>
        </is>
      </c>
      <c r="B266" t="inlineStr">
        <is>
          <t>R726.8 .B87 1993</t>
        </is>
      </c>
      <c r="C266" t="inlineStr">
        <is>
          <t>0                      R  0726800B  87          1993</t>
        </is>
      </c>
      <c r="D266" t="inlineStr">
        <is>
          <t>Final choices : to live or to die in an age of medical technology / George M. Burnell.</t>
        </is>
      </c>
      <c r="F266" t="inlineStr">
        <is>
          <t>No</t>
        </is>
      </c>
      <c r="G266" t="inlineStr">
        <is>
          <t>1</t>
        </is>
      </c>
      <c r="H266" t="inlineStr">
        <is>
          <t>Yes</t>
        </is>
      </c>
      <c r="I266" t="inlineStr">
        <is>
          <t>No</t>
        </is>
      </c>
      <c r="J266" t="inlineStr">
        <is>
          <t>0</t>
        </is>
      </c>
      <c r="K266" t="inlineStr">
        <is>
          <t>Burnell, George M.</t>
        </is>
      </c>
      <c r="L266" t="inlineStr">
        <is>
          <t>New York : Insight Books, c1993.</t>
        </is>
      </c>
      <c r="M266" t="inlineStr">
        <is>
          <t>1993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R  </t>
        </is>
      </c>
      <c r="S266" t="n">
        <v>31</v>
      </c>
      <c r="T266" t="n">
        <v>40</v>
      </c>
      <c r="U266" t="inlineStr">
        <is>
          <t>2010-04-13</t>
        </is>
      </c>
      <c r="V266" t="inlineStr">
        <is>
          <t>2010-04-13</t>
        </is>
      </c>
      <c r="W266" t="inlineStr">
        <is>
          <t>1994-02-07</t>
        </is>
      </c>
      <c r="X266" t="inlineStr">
        <is>
          <t>1994-02-07</t>
        </is>
      </c>
      <c r="Y266" t="n">
        <v>877</v>
      </c>
      <c r="Z266" t="n">
        <v>796</v>
      </c>
      <c r="AA266" t="n">
        <v>798</v>
      </c>
      <c r="AB266" t="n">
        <v>7</v>
      </c>
      <c r="AC266" t="n">
        <v>7</v>
      </c>
      <c r="AD266" t="n">
        <v>32</v>
      </c>
      <c r="AE266" t="n">
        <v>32</v>
      </c>
      <c r="AF266" t="n">
        <v>8</v>
      </c>
      <c r="AG266" t="n">
        <v>8</v>
      </c>
      <c r="AH266" t="n">
        <v>6</v>
      </c>
      <c r="AI266" t="n">
        <v>6</v>
      </c>
      <c r="AJ266" t="n">
        <v>10</v>
      </c>
      <c r="AK266" t="n">
        <v>10</v>
      </c>
      <c r="AL266" t="n">
        <v>4</v>
      </c>
      <c r="AM266" t="n">
        <v>4</v>
      </c>
      <c r="AN266" t="n">
        <v>8</v>
      </c>
      <c r="AO266" t="n">
        <v>8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HYPERLINK("http://catalog.hathitrust.org/Record/004532342","HathiTrust Record")</f>
        <v/>
      </c>
      <c r="AS266">
        <f>HYPERLINK("https://creighton-primo.hosted.exlibrisgroup.com/primo-explore/search?tab=default_tab&amp;search_scope=EVERYTHING&amp;vid=01CRU&amp;lang=en_US&amp;offset=0&amp;query=any,contains,991001656419702656","Catalog Record")</f>
        <v/>
      </c>
      <c r="AT266">
        <f>HYPERLINK("http://www.worldcat.org/oclc/27151300","WorldCat Record")</f>
        <v/>
      </c>
    </row>
    <row r="267">
      <c r="A267" t="inlineStr">
        <is>
          <t>No</t>
        </is>
      </c>
      <c r="B267" t="inlineStr">
        <is>
          <t>R726.8 .C385 2003</t>
        </is>
      </c>
      <c r="C267" t="inlineStr">
        <is>
          <t>0                      R  0726800C  385         2003</t>
        </is>
      </c>
      <c r="D267" t="inlineStr">
        <is>
          <t>Caring for the dying : critical issues at the edge of life / edited by Robert M. Baird &amp; Stuart E. Rosenbaum.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Amherst, N.Y. : Prometheus Books, c2003.</t>
        </is>
      </c>
      <c r="M267" t="inlineStr">
        <is>
          <t>2003</t>
        </is>
      </c>
      <c r="O267" t="inlineStr">
        <is>
          <t>eng</t>
        </is>
      </c>
      <c r="P267" t="inlineStr">
        <is>
          <t>nyu</t>
        </is>
      </c>
      <c r="Q267" t="inlineStr">
        <is>
          <t>Contemporary issues series</t>
        </is>
      </c>
      <c r="R267" t="inlineStr">
        <is>
          <t xml:space="preserve">R  </t>
        </is>
      </c>
      <c r="S267" t="n">
        <v>4</v>
      </c>
      <c r="T267" t="n">
        <v>4</v>
      </c>
      <c r="U267" t="inlineStr">
        <is>
          <t>2008-11-11</t>
        </is>
      </c>
      <c r="V267" t="inlineStr">
        <is>
          <t>2008-11-11</t>
        </is>
      </c>
      <c r="W267" t="inlineStr">
        <is>
          <t>2005-05-09</t>
        </is>
      </c>
      <c r="X267" t="inlineStr">
        <is>
          <t>2005-05-09</t>
        </is>
      </c>
      <c r="Y267" t="n">
        <v>835</v>
      </c>
      <c r="Z267" t="n">
        <v>758</v>
      </c>
      <c r="AA267" t="n">
        <v>768</v>
      </c>
      <c r="AB267" t="n">
        <v>4</v>
      </c>
      <c r="AC267" t="n">
        <v>5</v>
      </c>
      <c r="AD267" t="n">
        <v>31</v>
      </c>
      <c r="AE267" t="n">
        <v>31</v>
      </c>
      <c r="AF267" t="n">
        <v>15</v>
      </c>
      <c r="AG267" t="n">
        <v>15</v>
      </c>
      <c r="AH267" t="n">
        <v>6</v>
      </c>
      <c r="AI267" t="n">
        <v>6</v>
      </c>
      <c r="AJ267" t="n">
        <v>14</v>
      </c>
      <c r="AK267" t="n">
        <v>14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HYPERLINK("http://catalog.hathitrust.org/Record/004311427","HathiTrust Record")</f>
        <v/>
      </c>
      <c r="AS267">
        <f>HYPERLINK("https://creighton-primo.hosted.exlibrisgroup.com/primo-explore/search?tab=default_tab&amp;search_scope=EVERYTHING&amp;vid=01CRU&amp;lang=en_US&amp;offset=0&amp;query=any,contains,991004540879702656","Catalog Record")</f>
        <v/>
      </c>
      <c r="AT267">
        <f>HYPERLINK("http://www.worldcat.org/oclc/50022975","WorldCat Record")</f>
        <v/>
      </c>
    </row>
    <row r="268">
      <c r="A268" t="inlineStr">
        <is>
          <t>No</t>
        </is>
      </c>
      <c r="B268" t="inlineStr">
        <is>
          <t>R726.8 .C47 1986</t>
        </is>
      </c>
      <c r="C268" t="inlineStr">
        <is>
          <t>0                      R  0726800C  47          1986</t>
        </is>
      </c>
      <c r="D268" t="inlineStr">
        <is>
          <t>Dying at home with hospice / by Deborah Chase.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Chase, Deborah.</t>
        </is>
      </c>
      <c r="L268" t="inlineStr">
        <is>
          <t>St. Louis, Mo. : C.V. Mosby Co., c1986.</t>
        </is>
      </c>
      <c r="M268" t="inlineStr">
        <is>
          <t>1986</t>
        </is>
      </c>
      <c r="O268" t="inlineStr">
        <is>
          <t>eng</t>
        </is>
      </c>
      <c r="P268" t="inlineStr">
        <is>
          <t>mou</t>
        </is>
      </c>
      <c r="R268" t="inlineStr">
        <is>
          <t xml:space="preserve">R  </t>
        </is>
      </c>
      <c r="S268" t="n">
        <v>11</v>
      </c>
      <c r="T268" t="n">
        <v>11</v>
      </c>
      <c r="U268" t="inlineStr">
        <is>
          <t>2003-11-11</t>
        </is>
      </c>
      <c r="V268" t="inlineStr">
        <is>
          <t>2003-11-11</t>
        </is>
      </c>
      <c r="W268" t="inlineStr">
        <is>
          <t>1991-11-12</t>
        </is>
      </c>
      <c r="X268" t="inlineStr">
        <is>
          <t>1991-11-12</t>
        </is>
      </c>
      <c r="Y268" t="n">
        <v>213</v>
      </c>
      <c r="Z268" t="n">
        <v>198</v>
      </c>
      <c r="AA268" t="n">
        <v>204</v>
      </c>
      <c r="AB268" t="n">
        <v>3</v>
      </c>
      <c r="AC268" t="n">
        <v>3</v>
      </c>
      <c r="AD268" t="n">
        <v>3</v>
      </c>
      <c r="AE268" t="n">
        <v>3</v>
      </c>
      <c r="AF268" t="n">
        <v>1</v>
      </c>
      <c r="AG268" t="n">
        <v>1</v>
      </c>
      <c r="AH268" t="n">
        <v>0</v>
      </c>
      <c r="AI268" t="n">
        <v>0</v>
      </c>
      <c r="AJ268" t="n">
        <v>2</v>
      </c>
      <c r="AK268" t="n">
        <v>2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HYPERLINK("http://catalog.hathitrust.org/Record/009142733","HathiTrust Record")</f>
        <v/>
      </c>
      <c r="AS268">
        <f>HYPERLINK("https://creighton-primo.hosted.exlibrisgroup.com/primo-explore/search?tab=default_tab&amp;search_scope=EVERYTHING&amp;vid=01CRU&amp;lang=en_US&amp;offset=0&amp;query=any,contains,991000685859702656","Catalog Record")</f>
        <v/>
      </c>
      <c r="AT268">
        <f>HYPERLINK("http://www.worldcat.org/oclc/12420773","WorldCat Record")</f>
        <v/>
      </c>
    </row>
    <row r="269">
      <c r="A269" t="inlineStr">
        <is>
          <t>No</t>
        </is>
      </c>
      <c r="B269" t="inlineStr">
        <is>
          <t>R726.8 .C63</t>
        </is>
      </c>
      <c r="C269" t="inlineStr">
        <is>
          <t>0                      R  0726800C  63</t>
        </is>
      </c>
      <c r="D269" t="inlineStr">
        <is>
          <t>Hospice, prescription for terminal care / Kenneth P. Cohen.</t>
        </is>
      </c>
      <c r="F269" t="inlineStr">
        <is>
          <t>No</t>
        </is>
      </c>
      <c r="G269" t="inlineStr">
        <is>
          <t>1</t>
        </is>
      </c>
      <c r="H269" t="inlineStr">
        <is>
          <t>Yes</t>
        </is>
      </c>
      <c r="I269" t="inlineStr">
        <is>
          <t>No</t>
        </is>
      </c>
      <c r="J269" t="inlineStr">
        <is>
          <t>0</t>
        </is>
      </c>
      <c r="K269" t="inlineStr">
        <is>
          <t>Cohen, Kenneth P.</t>
        </is>
      </c>
      <c r="L269" t="inlineStr">
        <is>
          <t>Germantown, Md. : Aspen Systems Corp., 1979.</t>
        </is>
      </c>
      <c r="M269" t="inlineStr">
        <is>
          <t>1979</t>
        </is>
      </c>
      <c r="O269" t="inlineStr">
        <is>
          <t>eng</t>
        </is>
      </c>
      <c r="P269" t="inlineStr">
        <is>
          <t>mdu</t>
        </is>
      </c>
      <c r="R269" t="inlineStr">
        <is>
          <t xml:space="preserve">R  </t>
        </is>
      </c>
      <c r="S269" t="n">
        <v>8</v>
      </c>
      <c r="T269" t="n">
        <v>8</v>
      </c>
      <c r="U269" t="inlineStr">
        <is>
          <t>2003-11-11</t>
        </is>
      </c>
      <c r="V269" t="inlineStr">
        <is>
          <t>2003-11-11</t>
        </is>
      </c>
      <c r="W269" t="inlineStr">
        <is>
          <t>1991-11-19</t>
        </is>
      </c>
      <c r="X269" t="inlineStr">
        <is>
          <t>1991-11-19</t>
        </is>
      </c>
      <c r="Y269" t="n">
        <v>758</v>
      </c>
      <c r="Z269" t="n">
        <v>684</v>
      </c>
      <c r="AA269" t="n">
        <v>701</v>
      </c>
      <c r="AB269" t="n">
        <v>5</v>
      </c>
      <c r="AC269" t="n">
        <v>5</v>
      </c>
      <c r="AD269" t="n">
        <v>26</v>
      </c>
      <c r="AE269" t="n">
        <v>28</v>
      </c>
      <c r="AF269" t="n">
        <v>9</v>
      </c>
      <c r="AG269" t="n">
        <v>10</v>
      </c>
      <c r="AH269" t="n">
        <v>5</v>
      </c>
      <c r="AI269" t="n">
        <v>6</v>
      </c>
      <c r="AJ269" t="n">
        <v>15</v>
      </c>
      <c r="AK269" t="n">
        <v>15</v>
      </c>
      <c r="AL269" t="n">
        <v>3</v>
      </c>
      <c r="AM269" t="n">
        <v>3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HYPERLINK("http://catalog.hathitrust.org/Record/000301215","HathiTrust Record")</f>
        <v/>
      </c>
      <c r="AS269">
        <f>HYPERLINK("https://creighton-primo.hosted.exlibrisgroup.com/primo-explore/search?tab=default_tab&amp;search_scope=EVERYTHING&amp;vid=01CRU&amp;lang=en_US&amp;offset=0&amp;query=any,contains,991004754329702656","Catalog Record")</f>
        <v/>
      </c>
      <c r="AT269">
        <f>HYPERLINK("http://www.worldcat.org/oclc/4956878","WorldCat Record")</f>
        <v/>
      </c>
    </row>
    <row r="270">
      <c r="A270" t="inlineStr">
        <is>
          <t>No</t>
        </is>
      </c>
      <c r="B270" t="inlineStr">
        <is>
          <t>R726.8 .D39 1982</t>
        </is>
      </c>
      <c r="C270" t="inlineStr">
        <is>
          <t>0                      R  0726800D  39          1982</t>
        </is>
      </c>
      <c r="D270" t="inlineStr">
        <is>
          <t>Death education for the health professional / edited by Jeanne Quint Benoliel.</t>
        </is>
      </c>
      <c r="F270" t="inlineStr">
        <is>
          <t>No</t>
        </is>
      </c>
      <c r="G270" t="inlineStr">
        <is>
          <t>1</t>
        </is>
      </c>
      <c r="H270" t="inlineStr">
        <is>
          <t>Yes</t>
        </is>
      </c>
      <c r="I270" t="inlineStr">
        <is>
          <t>No</t>
        </is>
      </c>
      <c r="J270" t="inlineStr">
        <is>
          <t>0</t>
        </is>
      </c>
      <c r="L270" t="inlineStr">
        <is>
          <t>Washington : Hemisphere Pub. Corp., c1982.</t>
        </is>
      </c>
      <c r="M270" t="inlineStr">
        <is>
          <t>1982</t>
        </is>
      </c>
      <c r="O270" t="inlineStr">
        <is>
          <t>eng</t>
        </is>
      </c>
      <c r="P270" t="inlineStr">
        <is>
          <t>dcu</t>
        </is>
      </c>
      <c r="Q270" t="inlineStr">
        <is>
          <t>Series in death education, aging, and health care</t>
        </is>
      </c>
      <c r="R270" t="inlineStr">
        <is>
          <t xml:space="preserve">R  </t>
        </is>
      </c>
      <c r="S270" t="n">
        <v>7</v>
      </c>
      <c r="T270" t="n">
        <v>16</v>
      </c>
      <c r="U270" t="inlineStr">
        <is>
          <t>1999-06-25</t>
        </is>
      </c>
      <c r="V270" t="inlineStr">
        <is>
          <t>2000-02-19</t>
        </is>
      </c>
      <c r="W270" t="inlineStr">
        <is>
          <t>1992-03-10</t>
        </is>
      </c>
      <c r="X270" t="inlineStr">
        <is>
          <t>1992-03-10</t>
        </is>
      </c>
      <c r="Y270" t="n">
        <v>260</v>
      </c>
      <c r="Z270" t="n">
        <v>211</v>
      </c>
      <c r="AA270" t="n">
        <v>217</v>
      </c>
      <c r="AB270" t="n">
        <v>4</v>
      </c>
      <c r="AC270" t="n">
        <v>4</v>
      </c>
      <c r="AD270" t="n">
        <v>7</v>
      </c>
      <c r="AE270" t="n">
        <v>7</v>
      </c>
      <c r="AF270" t="n">
        <v>2</v>
      </c>
      <c r="AG270" t="n">
        <v>2</v>
      </c>
      <c r="AH270" t="n">
        <v>1</v>
      </c>
      <c r="AI270" t="n">
        <v>1</v>
      </c>
      <c r="AJ270" t="n">
        <v>2</v>
      </c>
      <c r="AK270" t="n">
        <v>2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HYPERLINK("https://creighton-primo.hosted.exlibrisgroup.com/primo-explore/search?tab=default_tab&amp;search_scope=EVERYTHING&amp;vid=01CRU&amp;lang=en_US&amp;offset=0&amp;query=any,contains,991001778409702656","Catalog Record")</f>
        <v/>
      </c>
      <c r="AT270">
        <f>HYPERLINK("http://www.worldcat.org/oclc/8033277","WorldCat Record")</f>
        <v/>
      </c>
    </row>
    <row r="271">
      <c r="A271" t="inlineStr">
        <is>
          <t>No</t>
        </is>
      </c>
      <c r="B271" t="inlineStr">
        <is>
          <t>R726.8 .D4 1975</t>
        </is>
      </c>
      <c r="C271" t="inlineStr">
        <is>
          <t>0                      R  0726800D  4           1975</t>
        </is>
      </c>
      <c r="D271" t="inlineStr">
        <is>
          <t>Death inside out : the Hastings Center report / edited by Peter Steinfels and Robert M. Veatch.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New York : Harper &amp; Row, c1975.</t>
        </is>
      </c>
      <c r="M271" t="inlineStr">
        <is>
          <t>1975</t>
        </is>
      </c>
      <c r="N271" t="inlineStr">
        <is>
          <t>1st ed.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R  </t>
        </is>
      </c>
      <c r="S271" t="n">
        <v>3</v>
      </c>
      <c r="T271" t="n">
        <v>3</v>
      </c>
      <c r="U271" t="inlineStr">
        <is>
          <t>1994-01-24</t>
        </is>
      </c>
      <c r="V271" t="inlineStr">
        <is>
          <t>1994-01-24</t>
        </is>
      </c>
      <c r="W271" t="inlineStr">
        <is>
          <t>1990-03-13</t>
        </is>
      </c>
      <c r="X271" t="inlineStr">
        <is>
          <t>1990-03-13</t>
        </is>
      </c>
      <c r="Y271" t="n">
        <v>766</v>
      </c>
      <c r="Z271" t="n">
        <v>695</v>
      </c>
      <c r="AA271" t="n">
        <v>697</v>
      </c>
      <c r="AB271" t="n">
        <v>4</v>
      </c>
      <c r="AC271" t="n">
        <v>4</v>
      </c>
      <c r="AD271" t="n">
        <v>30</v>
      </c>
      <c r="AE271" t="n">
        <v>30</v>
      </c>
      <c r="AF271" t="n">
        <v>8</v>
      </c>
      <c r="AG271" t="n">
        <v>8</v>
      </c>
      <c r="AH271" t="n">
        <v>9</v>
      </c>
      <c r="AI271" t="n">
        <v>9</v>
      </c>
      <c r="AJ271" t="n">
        <v>18</v>
      </c>
      <c r="AK271" t="n">
        <v>18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HYPERLINK("http://catalog.hathitrust.org/Record/000040239","HathiTrust Record")</f>
        <v/>
      </c>
      <c r="AS271">
        <f>HYPERLINK("https://creighton-primo.hosted.exlibrisgroup.com/primo-explore/search?tab=default_tab&amp;search_scope=EVERYTHING&amp;vid=01CRU&amp;lang=en_US&amp;offset=0&amp;query=any,contains,991003858019702656","Catalog Record")</f>
        <v/>
      </c>
      <c r="AT271">
        <f>HYPERLINK("http://www.worldcat.org/oclc/1659370","WorldCat Record")</f>
        <v/>
      </c>
    </row>
    <row r="272">
      <c r="A272" t="inlineStr">
        <is>
          <t>No</t>
        </is>
      </c>
      <c r="B272" t="inlineStr">
        <is>
          <t>R726.8 .D85</t>
        </is>
      </c>
      <c r="C272" t="inlineStr">
        <is>
          <t>0                      R  0726800D  85</t>
        </is>
      </c>
      <c r="D272" t="inlineStr">
        <is>
          <t>The hospice way of death / Paul M. Dubois.</t>
        </is>
      </c>
      <c r="F272" t="inlineStr">
        <is>
          <t>No</t>
        </is>
      </c>
      <c r="G272" t="inlineStr">
        <is>
          <t>1</t>
        </is>
      </c>
      <c r="H272" t="inlineStr">
        <is>
          <t>Yes</t>
        </is>
      </c>
      <c r="I272" t="inlineStr">
        <is>
          <t>No</t>
        </is>
      </c>
      <c r="J272" t="inlineStr">
        <is>
          <t>0</t>
        </is>
      </c>
      <c r="K272" t="inlineStr">
        <is>
          <t>DuBois, Paul M.</t>
        </is>
      </c>
      <c r="L272" t="inlineStr">
        <is>
          <t>New York : Human Sciences Press, c1980.</t>
        </is>
      </c>
      <c r="M272" t="inlineStr">
        <is>
          <t>1980</t>
        </is>
      </c>
      <c r="O272" t="inlineStr">
        <is>
          <t>eng</t>
        </is>
      </c>
      <c r="P272" t="inlineStr">
        <is>
          <t>nyu</t>
        </is>
      </c>
      <c r="R272" t="inlineStr">
        <is>
          <t xml:space="preserve">R  </t>
        </is>
      </c>
      <c r="S272" t="n">
        <v>6</v>
      </c>
      <c r="T272" t="n">
        <v>11</v>
      </c>
      <c r="U272" t="inlineStr">
        <is>
          <t>2003-11-11</t>
        </is>
      </c>
      <c r="V272" t="inlineStr">
        <is>
          <t>2003-11-11</t>
        </is>
      </c>
      <c r="W272" t="inlineStr">
        <is>
          <t>1991-11-21</t>
        </is>
      </c>
      <c r="X272" t="inlineStr">
        <is>
          <t>1991-11-21</t>
        </is>
      </c>
      <c r="Y272" t="n">
        <v>947</v>
      </c>
      <c r="Z272" t="n">
        <v>870</v>
      </c>
      <c r="AA272" t="n">
        <v>887</v>
      </c>
      <c r="AB272" t="n">
        <v>7</v>
      </c>
      <c r="AC272" t="n">
        <v>7</v>
      </c>
      <c r="AD272" t="n">
        <v>25</v>
      </c>
      <c r="AE272" t="n">
        <v>25</v>
      </c>
      <c r="AF272" t="n">
        <v>11</v>
      </c>
      <c r="AG272" t="n">
        <v>11</v>
      </c>
      <c r="AH272" t="n">
        <v>5</v>
      </c>
      <c r="AI272" t="n">
        <v>5</v>
      </c>
      <c r="AJ272" t="n">
        <v>12</v>
      </c>
      <c r="AK272" t="n">
        <v>12</v>
      </c>
      <c r="AL272" t="n">
        <v>4</v>
      </c>
      <c r="AM272" t="n">
        <v>4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HYPERLINK("http://catalog.hathitrust.org/Record/000037902","HathiTrust Record")</f>
        <v/>
      </c>
      <c r="AS272">
        <f>HYPERLINK("https://creighton-primo.hosted.exlibrisgroup.com/primo-explore/search?tab=default_tab&amp;search_scope=EVERYTHING&amp;vid=01CRU&amp;lang=en_US&amp;offset=0&amp;query=any,contains,991001777049702656","Catalog Record")</f>
        <v/>
      </c>
      <c r="AT272">
        <f>HYPERLINK("http://www.worldcat.org/oclc/4857949","WorldCat Record")</f>
        <v/>
      </c>
    </row>
    <row r="273">
      <c r="A273" t="inlineStr">
        <is>
          <t>No</t>
        </is>
      </c>
      <c r="B273" t="inlineStr">
        <is>
          <t>R726.8 .D89</t>
        </is>
      </c>
      <c r="C273" t="inlineStr">
        <is>
          <t>0                      R  0726800D  89</t>
        </is>
      </c>
      <c r="D273" t="inlineStr">
        <is>
          <t>Dying and death : a clinical guide for caregivers / edited by David Barton with 7 contributors.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Baltimore : Williams &amp; Wilkins, c1977.</t>
        </is>
      </c>
      <c r="M273" t="inlineStr">
        <is>
          <t>1977</t>
        </is>
      </c>
      <c r="O273" t="inlineStr">
        <is>
          <t>eng</t>
        </is>
      </c>
      <c r="P273" t="inlineStr">
        <is>
          <t>mdu</t>
        </is>
      </c>
      <c r="R273" t="inlineStr">
        <is>
          <t xml:space="preserve">R  </t>
        </is>
      </c>
      <c r="S273" t="n">
        <v>23</v>
      </c>
      <c r="T273" t="n">
        <v>23</v>
      </c>
      <c r="U273" t="inlineStr">
        <is>
          <t>2000-09-13</t>
        </is>
      </c>
      <c r="V273" t="inlineStr">
        <is>
          <t>2000-09-13</t>
        </is>
      </c>
      <c r="W273" t="inlineStr">
        <is>
          <t>1993-03-08</t>
        </is>
      </c>
      <c r="X273" t="inlineStr">
        <is>
          <t>1993-03-08</t>
        </is>
      </c>
      <c r="Y273" t="n">
        <v>329</v>
      </c>
      <c r="Z273" t="n">
        <v>259</v>
      </c>
      <c r="AA273" t="n">
        <v>261</v>
      </c>
      <c r="AB273" t="n">
        <v>2</v>
      </c>
      <c r="AC273" t="n">
        <v>2</v>
      </c>
      <c r="AD273" t="n">
        <v>7</v>
      </c>
      <c r="AE273" t="n">
        <v>7</v>
      </c>
      <c r="AF273" t="n">
        <v>1</v>
      </c>
      <c r="AG273" t="n">
        <v>1</v>
      </c>
      <c r="AH273" t="n">
        <v>3</v>
      </c>
      <c r="AI273" t="n">
        <v>3</v>
      </c>
      <c r="AJ273" t="n">
        <v>5</v>
      </c>
      <c r="AK273" t="n">
        <v>5</v>
      </c>
      <c r="AL273" t="n">
        <v>1</v>
      </c>
      <c r="AM273" t="n">
        <v>1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HYPERLINK("http://catalog.hathitrust.org/Record/004416037","HathiTrust Record")</f>
        <v/>
      </c>
      <c r="AS273">
        <f>HYPERLINK("https://creighton-primo.hosted.exlibrisgroup.com/primo-explore/search?tab=default_tab&amp;search_scope=EVERYTHING&amp;vid=01CRU&amp;lang=en_US&amp;offset=0&amp;query=any,contains,991004244639702656","Catalog Record")</f>
        <v/>
      </c>
      <c r="AT273">
        <f>HYPERLINK("http://www.worldcat.org/oclc/2797956","WorldCat Record")</f>
        <v/>
      </c>
    </row>
    <row r="274">
      <c r="A274" t="inlineStr">
        <is>
          <t>No</t>
        </is>
      </c>
      <c r="B274" t="inlineStr">
        <is>
          <t>R726.8 .F44 1977</t>
        </is>
      </c>
      <c r="C274" t="inlineStr">
        <is>
          <t>0                      R  0726800F  44          1977</t>
        </is>
      </c>
      <c r="D274" t="inlineStr">
        <is>
          <t>New meanings of death / [edited by] Herman Feifel.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L274" t="inlineStr">
        <is>
          <t>New York : McGraw-Hill, c1977.</t>
        </is>
      </c>
      <c r="M274" t="inlineStr">
        <is>
          <t>1977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R  </t>
        </is>
      </c>
      <c r="S274" t="n">
        <v>6</v>
      </c>
      <c r="T274" t="n">
        <v>6</v>
      </c>
      <c r="U274" t="inlineStr">
        <is>
          <t>1996-04-29</t>
        </is>
      </c>
      <c r="V274" t="inlineStr">
        <is>
          <t>1996-04-29</t>
        </is>
      </c>
      <c r="W274" t="inlineStr">
        <is>
          <t>1991-10-16</t>
        </is>
      </c>
      <c r="X274" t="inlineStr">
        <is>
          <t>1991-10-16</t>
        </is>
      </c>
      <c r="Y274" t="n">
        <v>1109</v>
      </c>
      <c r="Z274" t="n">
        <v>954</v>
      </c>
      <c r="AA274" t="n">
        <v>962</v>
      </c>
      <c r="AB274" t="n">
        <v>8</v>
      </c>
      <c r="AC274" t="n">
        <v>8</v>
      </c>
      <c r="AD274" t="n">
        <v>33</v>
      </c>
      <c r="AE274" t="n">
        <v>33</v>
      </c>
      <c r="AF274" t="n">
        <v>12</v>
      </c>
      <c r="AG274" t="n">
        <v>12</v>
      </c>
      <c r="AH274" t="n">
        <v>8</v>
      </c>
      <c r="AI274" t="n">
        <v>8</v>
      </c>
      <c r="AJ274" t="n">
        <v>13</v>
      </c>
      <c r="AK274" t="n">
        <v>13</v>
      </c>
      <c r="AL274" t="n">
        <v>7</v>
      </c>
      <c r="AM274" t="n">
        <v>7</v>
      </c>
      <c r="AN274" t="n">
        <v>3</v>
      </c>
      <c r="AO274" t="n">
        <v>3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HYPERLINK("http://catalog.hathitrust.org/Record/000173445","HathiTrust Record")</f>
        <v/>
      </c>
      <c r="AS274">
        <f>HYPERLINK("https://creighton-primo.hosted.exlibrisgroup.com/primo-explore/search?tab=default_tab&amp;search_scope=EVERYTHING&amp;vid=01CRU&amp;lang=en_US&amp;offset=0&amp;query=any,contains,991004246569702656","Catalog Record")</f>
        <v/>
      </c>
      <c r="AT274">
        <f>HYPERLINK("http://www.worldcat.org/oclc/2798615","WorldCat Record")</f>
        <v/>
      </c>
    </row>
    <row r="275">
      <c r="A275" t="inlineStr">
        <is>
          <t>No</t>
        </is>
      </c>
      <c r="B275" t="inlineStr">
        <is>
          <t>R726.8 .H39 1992</t>
        </is>
      </c>
      <c r="C275" t="inlineStr">
        <is>
          <t>0                      R  0726800H  39          1992</t>
        </is>
      </c>
      <c r="D275" t="inlineStr">
        <is>
          <t>Hospice care / Bert Hayslip, Jr., Joel Leon.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Hayslip, Bert, Jr.</t>
        </is>
      </c>
      <c r="L275" t="inlineStr">
        <is>
          <t>Newbury Park, Calif. : Sage Publications, c1992.</t>
        </is>
      </c>
      <c r="M275" t="inlineStr">
        <is>
          <t>1992</t>
        </is>
      </c>
      <c r="O275" t="inlineStr">
        <is>
          <t>eng</t>
        </is>
      </c>
      <c r="P275" t="inlineStr">
        <is>
          <t>cau</t>
        </is>
      </c>
      <c r="Q275" t="inlineStr">
        <is>
          <t>Geriatric case practice training series ; v. 3</t>
        </is>
      </c>
      <c r="R275" t="inlineStr">
        <is>
          <t xml:space="preserve">R  </t>
        </is>
      </c>
      <c r="S275" t="n">
        <v>10</v>
      </c>
      <c r="T275" t="n">
        <v>10</v>
      </c>
      <c r="U275" t="inlineStr">
        <is>
          <t>2003-11-11</t>
        </is>
      </c>
      <c r="V275" t="inlineStr">
        <is>
          <t>2003-11-11</t>
        </is>
      </c>
      <c r="W275" t="inlineStr">
        <is>
          <t>1994-12-05</t>
        </is>
      </c>
      <c r="X275" t="inlineStr">
        <is>
          <t>1994-12-05</t>
        </is>
      </c>
      <c r="Y275" t="n">
        <v>256</v>
      </c>
      <c r="Z275" t="n">
        <v>191</v>
      </c>
      <c r="AA275" t="n">
        <v>193</v>
      </c>
      <c r="AB275" t="n">
        <v>4</v>
      </c>
      <c r="AC275" t="n">
        <v>4</v>
      </c>
      <c r="AD275" t="n">
        <v>10</v>
      </c>
      <c r="AE275" t="n">
        <v>10</v>
      </c>
      <c r="AF275" t="n">
        <v>3</v>
      </c>
      <c r="AG275" t="n">
        <v>3</v>
      </c>
      <c r="AH275" t="n">
        <v>1</v>
      </c>
      <c r="AI275" t="n">
        <v>1</v>
      </c>
      <c r="AJ275" t="n">
        <v>4</v>
      </c>
      <c r="AK275" t="n">
        <v>4</v>
      </c>
      <c r="AL275" t="n">
        <v>3</v>
      </c>
      <c r="AM275" t="n">
        <v>3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HYPERLINK("http://catalog.hathitrust.org/Record/002590038","HathiTrust Record")</f>
        <v/>
      </c>
      <c r="AS275">
        <f>HYPERLINK("https://creighton-primo.hosted.exlibrisgroup.com/primo-explore/search?tab=default_tab&amp;search_scope=EVERYTHING&amp;vid=01CRU&amp;lang=en_US&amp;offset=0&amp;query=any,contains,991002031429702656","Catalog Record")</f>
        <v/>
      </c>
      <c r="AT275">
        <f>HYPERLINK("http://www.worldcat.org/oclc/25870904","WorldCat Record")</f>
        <v/>
      </c>
    </row>
    <row r="276">
      <c r="A276" t="inlineStr">
        <is>
          <t>No</t>
        </is>
      </c>
      <c r="B276" t="inlineStr">
        <is>
          <t>R726.8 .H67</t>
        </is>
      </c>
      <c r="C276" t="inlineStr">
        <is>
          <t>0                      R  0726800H  67</t>
        </is>
      </c>
      <c r="D276" t="inlineStr">
        <is>
          <t>A hospice handbook : a new way to care for the dying / edited by Michael P. Hamilton and Helen F. Reid.</t>
        </is>
      </c>
      <c r="F276" t="inlineStr">
        <is>
          <t>No</t>
        </is>
      </c>
      <c r="G276" t="inlineStr">
        <is>
          <t>1</t>
        </is>
      </c>
      <c r="H276" t="inlineStr">
        <is>
          <t>Yes</t>
        </is>
      </c>
      <c r="I276" t="inlineStr">
        <is>
          <t>No</t>
        </is>
      </c>
      <c r="J276" t="inlineStr">
        <is>
          <t>0</t>
        </is>
      </c>
      <c r="L276" t="inlineStr">
        <is>
          <t>Grand Rapids : Eerdmans, c1980.</t>
        </is>
      </c>
      <c r="M276" t="inlineStr">
        <is>
          <t>1979</t>
        </is>
      </c>
      <c r="O276" t="inlineStr">
        <is>
          <t>eng</t>
        </is>
      </c>
      <c r="P276" t="inlineStr">
        <is>
          <t>miu</t>
        </is>
      </c>
      <c r="R276" t="inlineStr">
        <is>
          <t xml:space="preserve">R  </t>
        </is>
      </c>
      <c r="S276" t="n">
        <v>6</v>
      </c>
      <c r="T276" t="n">
        <v>8</v>
      </c>
      <c r="U276" t="inlineStr">
        <is>
          <t>2003-11-11</t>
        </is>
      </c>
      <c r="V276" t="inlineStr">
        <is>
          <t>2003-11-11</t>
        </is>
      </c>
      <c r="W276" t="inlineStr">
        <is>
          <t>1991-11-21</t>
        </is>
      </c>
      <c r="X276" t="inlineStr">
        <is>
          <t>1991-11-21</t>
        </is>
      </c>
      <c r="Y276" t="n">
        <v>888</v>
      </c>
      <c r="Z276" t="n">
        <v>817</v>
      </c>
      <c r="AA276" t="n">
        <v>832</v>
      </c>
      <c r="AB276" t="n">
        <v>8</v>
      </c>
      <c r="AC276" t="n">
        <v>8</v>
      </c>
      <c r="AD276" t="n">
        <v>28</v>
      </c>
      <c r="AE276" t="n">
        <v>28</v>
      </c>
      <c r="AF276" t="n">
        <v>13</v>
      </c>
      <c r="AG276" t="n">
        <v>13</v>
      </c>
      <c r="AH276" t="n">
        <v>3</v>
      </c>
      <c r="AI276" t="n">
        <v>3</v>
      </c>
      <c r="AJ276" t="n">
        <v>14</v>
      </c>
      <c r="AK276" t="n">
        <v>14</v>
      </c>
      <c r="AL276" t="n">
        <v>5</v>
      </c>
      <c r="AM276" t="n">
        <v>5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HYPERLINK("http://catalog.hathitrust.org/Record/000018748","HathiTrust Record")</f>
        <v/>
      </c>
      <c r="AS276">
        <f>HYPERLINK("https://creighton-primo.hosted.exlibrisgroup.com/primo-explore/search?tab=default_tab&amp;search_scope=EVERYTHING&amp;vid=01CRU&amp;lang=en_US&amp;offset=0&amp;query=any,contains,991001777019702656","Catalog Record")</f>
        <v/>
      </c>
      <c r="AT276">
        <f>HYPERLINK("http://www.worldcat.org/oclc/5333869","WorldCat Record")</f>
        <v/>
      </c>
    </row>
    <row r="277">
      <c r="A277" t="inlineStr">
        <is>
          <t>No</t>
        </is>
      </c>
      <c r="B277" t="inlineStr">
        <is>
          <t>R726.8 .H676 1982</t>
        </is>
      </c>
      <c r="C277" t="inlineStr">
        <is>
          <t>0                      R  0726800H  676         1982</t>
        </is>
      </c>
      <c r="D277" t="inlineStr">
        <is>
          <t>Hospice : a handbook for families and others facing terminal illness / [James Ewens and Patricia Herrington, editors]</t>
        </is>
      </c>
      <c r="F277" t="inlineStr">
        <is>
          <t>No</t>
        </is>
      </c>
      <c r="G277" t="inlineStr">
        <is>
          <t>1</t>
        </is>
      </c>
      <c r="H277" t="inlineStr">
        <is>
          <t>Yes</t>
        </is>
      </c>
      <c r="I277" t="inlineStr">
        <is>
          <t>No</t>
        </is>
      </c>
      <c r="J277" t="inlineStr">
        <is>
          <t>0</t>
        </is>
      </c>
      <c r="L277" t="inlineStr">
        <is>
          <t>Santa Fe, N.M. : Bear &amp; Company, c1982, 1983 printing.</t>
        </is>
      </c>
      <c r="M277" t="inlineStr">
        <is>
          <t>1982</t>
        </is>
      </c>
      <c r="O277" t="inlineStr">
        <is>
          <t>eng</t>
        </is>
      </c>
      <c r="P277" t="inlineStr">
        <is>
          <t>nmu</t>
        </is>
      </c>
      <c r="R277" t="inlineStr">
        <is>
          <t xml:space="preserve">R  </t>
        </is>
      </c>
      <c r="S277" t="n">
        <v>9</v>
      </c>
      <c r="T277" t="n">
        <v>16</v>
      </c>
      <c r="U277" t="inlineStr">
        <is>
          <t>2003-11-11</t>
        </is>
      </c>
      <c r="V277" t="inlineStr">
        <is>
          <t>2003-11-11</t>
        </is>
      </c>
      <c r="W277" t="inlineStr">
        <is>
          <t>1991-11-19</t>
        </is>
      </c>
      <c r="X277" t="inlineStr">
        <is>
          <t>1991-11-19</t>
        </is>
      </c>
      <c r="Y277" t="n">
        <v>101</v>
      </c>
      <c r="Z277" t="n">
        <v>101</v>
      </c>
      <c r="AA277" t="n">
        <v>106</v>
      </c>
      <c r="AB277" t="n">
        <v>2</v>
      </c>
      <c r="AC277" t="n">
        <v>2</v>
      </c>
      <c r="AD277" t="n">
        <v>2</v>
      </c>
      <c r="AE277" t="n">
        <v>2</v>
      </c>
      <c r="AF277" t="n">
        <v>0</v>
      </c>
      <c r="AG277" t="n">
        <v>0</v>
      </c>
      <c r="AH277" t="n">
        <v>1</v>
      </c>
      <c r="AI277" t="n">
        <v>1</v>
      </c>
      <c r="AJ277" t="n">
        <v>1</v>
      </c>
      <c r="AK277" t="n">
        <v>1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HYPERLINK("https://creighton-primo.hosted.exlibrisgroup.com/primo-explore/search?tab=default_tab&amp;search_scope=EVERYTHING&amp;vid=01CRU&amp;lang=en_US&amp;offset=0&amp;query=any,contains,991001776949702656","Catalog Record")</f>
        <v/>
      </c>
      <c r="AT277">
        <f>HYPERLINK("http://www.worldcat.org/oclc/9664332","WorldCat Record")</f>
        <v/>
      </c>
    </row>
    <row r="278">
      <c r="A278" t="inlineStr">
        <is>
          <t>No</t>
        </is>
      </c>
      <c r="B278" t="inlineStr">
        <is>
          <t>R726.8 .K52 2006</t>
        </is>
      </c>
      <c r="C278" t="inlineStr">
        <is>
          <t>0                      R  0726800K  52          2006</t>
        </is>
      </c>
      <c r="D278" t="inlineStr">
        <is>
          <t>Last rights : rescuing the end of life from the medical system / Stephen P. Kiernan.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Kiernan, Stephen P.</t>
        </is>
      </c>
      <c r="L278" t="inlineStr">
        <is>
          <t>New York : St. Martin's Press, 2006.</t>
        </is>
      </c>
      <c r="M278" t="inlineStr">
        <is>
          <t>2006</t>
        </is>
      </c>
      <c r="N278" t="inlineStr">
        <is>
          <t>1st ed.</t>
        </is>
      </c>
      <c r="O278" t="inlineStr">
        <is>
          <t>eng</t>
        </is>
      </c>
      <c r="P278" t="inlineStr">
        <is>
          <t>nyu</t>
        </is>
      </c>
      <c r="R278" t="inlineStr">
        <is>
          <t xml:space="preserve">R  </t>
        </is>
      </c>
      <c r="S278" t="n">
        <v>2</v>
      </c>
      <c r="T278" t="n">
        <v>2</v>
      </c>
      <c r="U278" t="inlineStr">
        <is>
          <t>2008-11-11</t>
        </is>
      </c>
      <c r="V278" t="inlineStr">
        <is>
          <t>2008-11-11</t>
        </is>
      </c>
      <c r="W278" t="inlineStr">
        <is>
          <t>2006-12-05</t>
        </is>
      </c>
      <c r="X278" t="inlineStr">
        <is>
          <t>2006-12-05</t>
        </is>
      </c>
      <c r="Y278" t="n">
        <v>1101</v>
      </c>
      <c r="Z278" t="n">
        <v>1062</v>
      </c>
      <c r="AA278" t="n">
        <v>1191</v>
      </c>
      <c r="AB278" t="n">
        <v>7</v>
      </c>
      <c r="AC278" t="n">
        <v>9</v>
      </c>
      <c r="AD278" t="n">
        <v>15</v>
      </c>
      <c r="AE278" t="n">
        <v>18</v>
      </c>
      <c r="AF278" t="n">
        <v>3</v>
      </c>
      <c r="AG278" t="n">
        <v>3</v>
      </c>
      <c r="AH278" t="n">
        <v>4</v>
      </c>
      <c r="AI278" t="n">
        <v>5</v>
      </c>
      <c r="AJ278" t="n">
        <v>6</v>
      </c>
      <c r="AK278" t="n">
        <v>7</v>
      </c>
      <c r="AL278" t="n">
        <v>4</v>
      </c>
      <c r="AM278" t="n">
        <v>5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HYPERLINK("https://creighton-primo.hosted.exlibrisgroup.com/primo-explore/search?tab=default_tab&amp;search_scope=EVERYTHING&amp;vid=01CRU&amp;lang=en_US&amp;offset=0&amp;query=any,contains,991004982579702656","Catalog Record")</f>
        <v/>
      </c>
      <c r="AT278">
        <f>HYPERLINK("http://www.worldcat.org/oclc/70063095","WorldCat Record")</f>
        <v/>
      </c>
    </row>
    <row r="279">
      <c r="A279" t="inlineStr">
        <is>
          <t>No</t>
        </is>
      </c>
      <c r="B279" t="inlineStr">
        <is>
          <t>R726.8 .L48 1984</t>
        </is>
      </c>
      <c r="C279" t="inlineStr">
        <is>
          <t>0                      R  0726800L  48          1984</t>
        </is>
      </c>
      <c r="D279" t="inlineStr">
        <is>
          <t>Meetings at the edge : dialogues with the grieving and the dying, the healing and the healed / Stephen Levine.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Levine, Stephen, 1937-2016.</t>
        </is>
      </c>
      <c r="L279" t="inlineStr">
        <is>
          <t>New York, N.Y. : Anchor Press, 1984.</t>
        </is>
      </c>
      <c r="M279" t="inlineStr">
        <is>
          <t>1984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R  </t>
        </is>
      </c>
      <c r="S279" t="n">
        <v>12</v>
      </c>
      <c r="T279" t="n">
        <v>12</v>
      </c>
      <c r="U279" t="inlineStr">
        <is>
          <t>1999-06-01</t>
        </is>
      </c>
      <c r="V279" t="inlineStr">
        <is>
          <t>1999-06-01</t>
        </is>
      </c>
      <c r="W279" t="inlineStr">
        <is>
          <t>1990-12-04</t>
        </is>
      </c>
      <c r="X279" t="inlineStr">
        <is>
          <t>1990-12-04</t>
        </is>
      </c>
      <c r="Y279" t="n">
        <v>422</v>
      </c>
      <c r="Z279" t="n">
        <v>382</v>
      </c>
      <c r="AA279" t="n">
        <v>470</v>
      </c>
      <c r="AB279" t="n">
        <v>3</v>
      </c>
      <c r="AC279" t="n">
        <v>3</v>
      </c>
      <c r="AD279" t="n">
        <v>10</v>
      </c>
      <c r="AE279" t="n">
        <v>13</v>
      </c>
      <c r="AF279" t="n">
        <v>3</v>
      </c>
      <c r="AG279" t="n">
        <v>5</v>
      </c>
      <c r="AH279" t="n">
        <v>2</v>
      </c>
      <c r="AI279" t="n">
        <v>3</v>
      </c>
      <c r="AJ279" t="n">
        <v>5</v>
      </c>
      <c r="AK279" t="n">
        <v>6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HYPERLINK("http://catalog.hathitrust.org/Record/000329743","HathiTrust Record")</f>
        <v/>
      </c>
      <c r="AS279">
        <f>HYPERLINK("https://creighton-primo.hosted.exlibrisgroup.com/primo-explore/search?tab=default_tab&amp;search_scope=EVERYTHING&amp;vid=01CRU&amp;lang=en_US&amp;offset=0&amp;query=any,contains,991000239029702656","Catalog Record")</f>
        <v/>
      </c>
      <c r="AT279">
        <f>HYPERLINK("http://www.worldcat.org/oclc/9682639","WorldCat Record")</f>
        <v/>
      </c>
    </row>
    <row r="280">
      <c r="A280" t="inlineStr">
        <is>
          <t>No</t>
        </is>
      </c>
      <c r="B280" t="inlineStr">
        <is>
          <t>R726.8 .L53</t>
        </is>
      </c>
      <c r="C280" t="inlineStr">
        <is>
          <t>0                      R  0726800L  53</t>
        </is>
      </c>
      <c r="D280" t="inlineStr">
        <is>
          <t>Life and death decisions / edited by Arthur Winter.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L280" t="inlineStr">
        <is>
          <t>Springfield, Ill. : Thomas, c1980.</t>
        </is>
      </c>
      <c r="M280" t="inlineStr">
        <is>
          <t>1980</t>
        </is>
      </c>
      <c r="O280" t="inlineStr">
        <is>
          <t>eng</t>
        </is>
      </c>
      <c r="P280" t="inlineStr">
        <is>
          <t>ilu</t>
        </is>
      </c>
      <c r="R280" t="inlineStr">
        <is>
          <t xml:space="preserve">R  </t>
        </is>
      </c>
      <c r="S280" t="n">
        <v>29</v>
      </c>
      <c r="T280" t="n">
        <v>29</v>
      </c>
      <c r="U280" t="inlineStr">
        <is>
          <t>1999-11-29</t>
        </is>
      </c>
      <c r="V280" t="inlineStr">
        <is>
          <t>1999-11-29</t>
        </is>
      </c>
      <c r="W280" t="inlineStr">
        <is>
          <t>1991-11-12</t>
        </is>
      </c>
      <c r="X280" t="inlineStr">
        <is>
          <t>1991-11-12</t>
        </is>
      </c>
      <c r="Y280" t="n">
        <v>145</v>
      </c>
      <c r="Z280" t="n">
        <v>125</v>
      </c>
      <c r="AA280" t="n">
        <v>127</v>
      </c>
      <c r="AB280" t="n">
        <v>2</v>
      </c>
      <c r="AC280" t="n">
        <v>2</v>
      </c>
      <c r="AD280" t="n">
        <v>4</v>
      </c>
      <c r="AE280" t="n">
        <v>4</v>
      </c>
      <c r="AF280" t="n">
        <v>0</v>
      </c>
      <c r="AG280" t="n">
        <v>0</v>
      </c>
      <c r="AH280" t="n">
        <v>1</v>
      </c>
      <c r="AI280" t="n">
        <v>1</v>
      </c>
      <c r="AJ280" t="n">
        <v>2</v>
      </c>
      <c r="AK280" t="n">
        <v>2</v>
      </c>
      <c r="AL280" t="n">
        <v>1</v>
      </c>
      <c r="AM280" t="n">
        <v>1</v>
      </c>
      <c r="AN280" t="n">
        <v>1</v>
      </c>
      <c r="AO280" t="n">
        <v>1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HYPERLINK("http://catalog.hathitrust.org/Record/000316595","HathiTrust Record")</f>
        <v/>
      </c>
      <c r="AS280">
        <f>HYPERLINK("https://creighton-primo.hosted.exlibrisgroup.com/primo-explore/search?tab=default_tab&amp;search_scope=EVERYTHING&amp;vid=01CRU&amp;lang=en_US&amp;offset=0&amp;query=any,contains,991004790769702656","Catalog Record")</f>
        <v/>
      </c>
      <c r="AT280">
        <f>HYPERLINK("http://www.worldcat.org/oclc/5171076","WorldCat Record")</f>
        <v/>
      </c>
    </row>
    <row r="281">
      <c r="A281" t="inlineStr">
        <is>
          <t>No</t>
        </is>
      </c>
      <c r="B281" t="inlineStr">
        <is>
          <t>R726.8 .M85 1983</t>
        </is>
      </c>
      <c r="C281" t="inlineStr">
        <is>
          <t>0                      R  0726800M  85          1983</t>
        </is>
      </c>
      <c r="D281" t="inlineStr">
        <is>
          <t>The hospice alternative : a new context for death and dying / Anne Munley.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Munley, Anne.</t>
        </is>
      </c>
      <c r="L281" t="inlineStr">
        <is>
          <t>New York : Basic Books, c1983.</t>
        </is>
      </c>
      <c r="M281" t="inlineStr">
        <is>
          <t>1983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R  </t>
        </is>
      </c>
      <c r="S281" t="n">
        <v>5</v>
      </c>
      <c r="T281" t="n">
        <v>5</v>
      </c>
      <c r="U281" t="inlineStr">
        <is>
          <t>1997-07-25</t>
        </is>
      </c>
      <c r="V281" t="inlineStr">
        <is>
          <t>1997-07-25</t>
        </is>
      </c>
      <c r="W281" t="inlineStr">
        <is>
          <t>1993-01-13</t>
        </is>
      </c>
      <c r="X281" t="inlineStr">
        <is>
          <t>1993-01-13</t>
        </is>
      </c>
      <c r="Y281" t="n">
        <v>1174</v>
      </c>
      <c r="Z281" t="n">
        <v>1084</v>
      </c>
      <c r="AA281" t="n">
        <v>1091</v>
      </c>
      <c r="AB281" t="n">
        <v>8</v>
      </c>
      <c r="AC281" t="n">
        <v>8</v>
      </c>
      <c r="AD281" t="n">
        <v>28</v>
      </c>
      <c r="AE281" t="n">
        <v>28</v>
      </c>
      <c r="AF281" t="n">
        <v>10</v>
      </c>
      <c r="AG281" t="n">
        <v>10</v>
      </c>
      <c r="AH281" t="n">
        <v>6</v>
      </c>
      <c r="AI281" t="n">
        <v>6</v>
      </c>
      <c r="AJ281" t="n">
        <v>17</v>
      </c>
      <c r="AK281" t="n">
        <v>17</v>
      </c>
      <c r="AL281" t="n">
        <v>3</v>
      </c>
      <c r="AM281" t="n">
        <v>3</v>
      </c>
      <c r="AN281" t="n">
        <v>1</v>
      </c>
      <c r="AO281" t="n">
        <v>1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HYPERLINK("http://catalog.hathitrust.org/Record/000160353","HathiTrust Record")</f>
        <v/>
      </c>
      <c r="AS281">
        <f>HYPERLINK("https://creighton-primo.hosted.exlibrisgroup.com/primo-explore/search?tab=default_tab&amp;search_scope=EVERYTHING&amp;vid=01CRU&amp;lang=en_US&amp;offset=0&amp;query=any,contains,991000185179702656","Catalog Record")</f>
        <v/>
      </c>
      <c r="AT281">
        <f>HYPERLINK("http://www.worldcat.org/oclc/9393350","WorldCat Record")</f>
        <v/>
      </c>
    </row>
    <row r="282">
      <c r="A282" t="inlineStr">
        <is>
          <t>No</t>
        </is>
      </c>
      <c r="B282" t="inlineStr">
        <is>
          <t>R726.8 .P37</t>
        </is>
      </c>
      <c r="C282" t="inlineStr">
        <is>
          <t>0                      R  0726800P  37</t>
        </is>
      </c>
      <c r="D282" t="inlineStr">
        <is>
          <t>The experience of dying / E. Mansell Pattison.</t>
        </is>
      </c>
      <c r="F282" t="inlineStr">
        <is>
          <t>No</t>
        </is>
      </c>
      <c r="G282" t="inlineStr">
        <is>
          <t>1</t>
        </is>
      </c>
      <c r="H282" t="inlineStr">
        <is>
          <t>Yes</t>
        </is>
      </c>
      <c r="I282" t="inlineStr">
        <is>
          <t>No</t>
        </is>
      </c>
      <c r="J282" t="inlineStr">
        <is>
          <t>0</t>
        </is>
      </c>
      <c r="K282" t="inlineStr">
        <is>
          <t>Pattison, E. Mansell, 1933-</t>
        </is>
      </c>
      <c r="L282" t="inlineStr">
        <is>
          <t>Englewood Cliffs, N.J. : Prentice-Hall, c1977.</t>
        </is>
      </c>
      <c r="M282" t="inlineStr">
        <is>
          <t>1977</t>
        </is>
      </c>
      <c r="O282" t="inlineStr">
        <is>
          <t>eng</t>
        </is>
      </c>
      <c r="P282" t="inlineStr">
        <is>
          <t>nju</t>
        </is>
      </c>
      <c r="Q282" t="inlineStr">
        <is>
          <t>A Spectrum book</t>
        </is>
      </c>
      <c r="R282" t="inlineStr">
        <is>
          <t xml:space="preserve">R  </t>
        </is>
      </c>
      <c r="S282" t="n">
        <v>6</v>
      </c>
      <c r="T282" t="n">
        <v>13</v>
      </c>
      <c r="U282" t="inlineStr">
        <is>
          <t>1996-01-24</t>
        </is>
      </c>
      <c r="V282" t="inlineStr">
        <is>
          <t>2000-07-23</t>
        </is>
      </c>
      <c r="W282" t="inlineStr">
        <is>
          <t>1990-11-30</t>
        </is>
      </c>
      <c r="X282" t="inlineStr">
        <is>
          <t>1990-11-30</t>
        </is>
      </c>
      <c r="Y282" t="n">
        <v>954</v>
      </c>
      <c r="Z282" t="n">
        <v>820</v>
      </c>
      <c r="AA282" t="n">
        <v>835</v>
      </c>
      <c r="AB282" t="n">
        <v>9</v>
      </c>
      <c r="AC282" t="n">
        <v>9</v>
      </c>
      <c r="AD282" t="n">
        <v>31</v>
      </c>
      <c r="AE282" t="n">
        <v>33</v>
      </c>
      <c r="AF282" t="n">
        <v>11</v>
      </c>
      <c r="AG282" t="n">
        <v>12</v>
      </c>
      <c r="AH282" t="n">
        <v>5</v>
      </c>
      <c r="AI282" t="n">
        <v>6</v>
      </c>
      <c r="AJ282" t="n">
        <v>15</v>
      </c>
      <c r="AK282" t="n">
        <v>15</v>
      </c>
      <c r="AL282" t="n">
        <v>7</v>
      </c>
      <c r="AM282" t="n">
        <v>7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HYPERLINK("http://catalog.hathitrust.org/Record/000735322","HathiTrust Record")</f>
        <v/>
      </c>
      <c r="AS282">
        <f>HYPERLINK("https://creighton-primo.hosted.exlibrisgroup.com/primo-explore/search?tab=default_tab&amp;search_scope=EVERYTHING&amp;vid=01CRU&amp;lang=en_US&amp;offset=0&amp;query=any,contains,991001799499702656","Catalog Record")</f>
        <v/>
      </c>
      <c r="AT282">
        <f>HYPERLINK("http://www.worldcat.org/oclc/2493509","WorldCat Record")</f>
        <v/>
      </c>
    </row>
    <row r="283">
      <c r="A283" t="inlineStr">
        <is>
          <t>No</t>
        </is>
      </c>
      <c r="B283" t="inlineStr">
        <is>
          <t>R726.8 .Q2 1994</t>
        </is>
      </c>
      <c r="C283" t="inlineStr">
        <is>
          <t>0                      R  0726800Q  2           1994</t>
        </is>
      </c>
      <c r="D283" t="inlineStr">
        <is>
          <t>Quality of life at the end of life : a Choices and Challenges forum / edited by Doris T. Zallen and Chris Hays Dove.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L283" t="inlineStr">
        <is>
          <t>Blacksburg, Va. : Choices and Challenges Project, Virginia Tech, c1994.</t>
        </is>
      </c>
      <c r="M283" t="inlineStr">
        <is>
          <t>1994</t>
        </is>
      </c>
      <c r="O283" t="inlineStr">
        <is>
          <t>eng</t>
        </is>
      </c>
      <c r="P283" t="inlineStr">
        <is>
          <t>vau</t>
        </is>
      </c>
      <c r="R283" t="inlineStr">
        <is>
          <t xml:space="preserve">R  </t>
        </is>
      </c>
      <c r="S283" t="n">
        <v>7</v>
      </c>
      <c r="T283" t="n">
        <v>7</v>
      </c>
      <c r="U283" t="inlineStr">
        <is>
          <t>2010-04-13</t>
        </is>
      </c>
      <c r="V283" t="inlineStr">
        <is>
          <t>2010-04-13</t>
        </is>
      </c>
      <c r="W283" t="inlineStr">
        <is>
          <t>1995-10-03</t>
        </is>
      </c>
      <c r="X283" t="inlineStr">
        <is>
          <t>1995-10-03</t>
        </is>
      </c>
      <c r="Y283" t="n">
        <v>23</v>
      </c>
      <c r="Z283" t="n">
        <v>23</v>
      </c>
      <c r="AA283" t="n">
        <v>24</v>
      </c>
      <c r="AB283" t="n">
        <v>1</v>
      </c>
      <c r="AC283" t="n">
        <v>1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HYPERLINK("https://creighton-primo.hosted.exlibrisgroup.com/primo-explore/search?tab=default_tab&amp;search_scope=EVERYTHING&amp;vid=01CRU&amp;lang=en_US&amp;offset=0&amp;query=any,contains,991002421549702656","Catalog Record")</f>
        <v/>
      </c>
      <c r="AT283">
        <f>HYPERLINK("http://www.worldcat.org/oclc/31532125","WorldCat Record")</f>
        <v/>
      </c>
    </row>
    <row r="284">
      <c r="A284" t="inlineStr">
        <is>
          <t>No</t>
        </is>
      </c>
      <c r="B284" t="inlineStr">
        <is>
          <t>R726.8 .S28 1989</t>
        </is>
      </c>
      <c r="C284" t="inlineStr">
        <is>
          <t>0                      R  0726800S  28          1989</t>
        </is>
      </c>
      <c r="D284" t="inlineStr">
        <is>
          <t>Living with dying : the management of terminal disease / Cicely Saunders and Mary Baines.</t>
        </is>
      </c>
      <c r="F284" t="inlineStr">
        <is>
          <t>No</t>
        </is>
      </c>
      <c r="G284" t="inlineStr">
        <is>
          <t>1</t>
        </is>
      </c>
      <c r="H284" t="inlineStr">
        <is>
          <t>Yes</t>
        </is>
      </c>
      <c r="I284" t="inlineStr">
        <is>
          <t>No</t>
        </is>
      </c>
      <c r="J284" t="inlineStr">
        <is>
          <t>0</t>
        </is>
      </c>
      <c r="K284" t="inlineStr">
        <is>
          <t>Saunders, Cicely M., Dame.</t>
        </is>
      </c>
      <c r="L284" t="inlineStr">
        <is>
          <t>Oxford ; New York : Oxford University Press, 1989.</t>
        </is>
      </c>
      <c r="M284" t="inlineStr">
        <is>
          <t>1989</t>
        </is>
      </c>
      <c r="N284" t="inlineStr">
        <is>
          <t>2nd ed.</t>
        </is>
      </c>
      <c r="O284" t="inlineStr">
        <is>
          <t>eng</t>
        </is>
      </c>
      <c r="P284" t="inlineStr">
        <is>
          <t>enk</t>
        </is>
      </c>
      <c r="Q284" t="inlineStr">
        <is>
          <t>Oxford medical publications</t>
        </is>
      </c>
      <c r="R284" t="inlineStr">
        <is>
          <t xml:space="preserve">R  </t>
        </is>
      </c>
      <c r="S284" t="n">
        <v>13</v>
      </c>
      <c r="T284" t="n">
        <v>13</v>
      </c>
      <c r="U284" t="inlineStr">
        <is>
          <t>2003-04-18</t>
        </is>
      </c>
      <c r="V284" t="inlineStr">
        <is>
          <t>2003-04-18</t>
        </is>
      </c>
      <c r="W284" t="inlineStr">
        <is>
          <t>1989-12-05</t>
        </is>
      </c>
      <c r="X284" t="inlineStr">
        <is>
          <t>1989-12-05</t>
        </is>
      </c>
      <c r="Y284" t="n">
        <v>260</v>
      </c>
      <c r="Z284" t="n">
        <v>169</v>
      </c>
      <c r="AA284" t="n">
        <v>399</v>
      </c>
      <c r="AB284" t="n">
        <v>3</v>
      </c>
      <c r="AC284" t="n">
        <v>4</v>
      </c>
      <c r="AD284" t="n">
        <v>5</v>
      </c>
      <c r="AE284" t="n">
        <v>19</v>
      </c>
      <c r="AF284" t="n">
        <v>1</v>
      </c>
      <c r="AG284" t="n">
        <v>7</v>
      </c>
      <c r="AH284" t="n">
        <v>2</v>
      </c>
      <c r="AI284" t="n">
        <v>3</v>
      </c>
      <c r="AJ284" t="n">
        <v>3</v>
      </c>
      <c r="AK284" t="n">
        <v>13</v>
      </c>
      <c r="AL284" t="n">
        <v>1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HYPERLINK("http://catalog.hathitrust.org/Record/001538720","HathiTrust Record")</f>
        <v/>
      </c>
      <c r="AS284">
        <f>HYPERLINK("https://creighton-primo.hosted.exlibrisgroup.com/primo-explore/search?tab=default_tab&amp;search_scope=EVERYTHING&amp;vid=01CRU&amp;lang=en_US&amp;offset=0&amp;query=any,contains,991001381579702656","Catalog Record")</f>
        <v/>
      </c>
      <c r="AT284">
        <f>HYPERLINK("http://www.worldcat.org/oclc/18683828","WorldCat Record")</f>
        <v/>
      </c>
    </row>
    <row r="285">
      <c r="A285" t="inlineStr">
        <is>
          <t>No</t>
        </is>
      </c>
      <c r="B285" t="inlineStr">
        <is>
          <t>R726.8 .T463 1986</t>
        </is>
      </c>
      <c r="C285" t="inlineStr">
        <is>
          <t>0                      R  0726800T  463         1986</t>
        </is>
      </c>
      <c r="D285" t="inlineStr">
        <is>
          <t>Terminal care / edited by Richard Turnbull.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Washington : Hemisphere Pub. Corp. ; [New York] : Distribution in the U.S., McGraw-Hill International Book Co., c1986.</t>
        </is>
      </c>
      <c r="M285" t="inlineStr">
        <is>
          <t>1986</t>
        </is>
      </c>
      <c r="O285" t="inlineStr">
        <is>
          <t>eng</t>
        </is>
      </c>
      <c r="P285" t="inlineStr">
        <is>
          <t>dcu</t>
        </is>
      </c>
      <c r="Q285" t="inlineStr">
        <is>
          <t>Series in death education, aging, and health care, 0275-3510</t>
        </is>
      </c>
      <c r="R285" t="inlineStr">
        <is>
          <t xml:space="preserve">R  </t>
        </is>
      </c>
      <c r="S285" t="n">
        <v>2</v>
      </c>
      <c r="T285" t="n">
        <v>2</v>
      </c>
      <c r="U285" t="inlineStr">
        <is>
          <t>2000-09-13</t>
        </is>
      </c>
      <c r="V285" t="inlineStr">
        <is>
          <t>2000-09-13</t>
        </is>
      </c>
      <c r="W285" t="inlineStr">
        <is>
          <t>1990-04-23</t>
        </is>
      </c>
      <c r="X285" t="inlineStr">
        <is>
          <t>1990-04-23</t>
        </is>
      </c>
      <c r="Y285" t="n">
        <v>173</v>
      </c>
      <c r="Z285" t="n">
        <v>145</v>
      </c>
      <c r="AA285" t="n">
        <v>147</v>
      </c>
      <c r="AB285" t="n">
        <v>2</v>
      </c>
      <c r="AC285" t="n">
        <v>2</v>
      </c>
      <c r="AD285" t="n">
        <v>3</v>
      </c>
      <c r="AE285" t="n">
        <v>3</v>
      </c>
      <c r="AF285" t="n">
        <v>0</v>
      </c>
      <c r="AG285" t="n">
        <v>0</v>
      </c>
      <c r="AH285" t="n">
        <v>1</v>
      </c>
      <c r="AI285" t="n">
        <v>1</v>
      </c>
      <c r="AJ285" t="n">
        <v>2</v>
      </c>
      <c r="AK285" t="n">
        <v>2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HYPERLINK("http://catalog.hathitrust.org/Record/000153464","HathiTrust Record")</f>
        <v/>
      </c>
      <c r="AS285">
        <f>HYPERLINK("https://creighton-primo.hosted.exlibrisgroup.com/primo-explore/search?tab=default_tab&amp;search_scope=EVERYTHING&amp;vid=01CRU&amp;lang=en_US&amp;offset=0&amp;query=any,contains,991000383059702656","Catalog Record")</f>
        <v/>
      </c>
      <c r="AT285">
        <f>HYPERLINK("http://www.worldcat.org/oclc/10506130","WorldCat Record")</f>
        <v/>
      </c>
    </row>
    <row r="286">
      <c r="A286" t="inlineStr">
        <is>
          <t>No</t>
        </is>
      </c>
      <c r="B286" t="inlineStr">
        <is>
          <t>R726.8 .V33 1987</t>
        </is>
      </c>
      <c r="C286" t="inlineStr">
        <is>
          <t>0                      R  0726800V  33          1987</t>
        </is>
      </c>
      <c r="D286" t="inlineStr">
        <is>
          <t>Occupational stress in the care of the critically ill, the dying, and the bereaved / Mary L.S. Vachon.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Vachon, Mary L. S.</t>
        </is>
      </c>
      <c r="L286" t="inlineStr">
        <is>
          <t>Washington : Hemisphere Pub. Corp., c1987.</t>
        </is>
      </c>
      <c r="M286" t="inlineStr">
        <is>
          <t>1987</t>
        </is>
      </c>
      <c r="O286" t="inlineStr">
        <is>
          <t>eng</t>
        </is>
      </c>
      <c r="P286" t="inlineStr">
        <is>
          <t>dcu</t>
        </is>
      </c>
      <c r="Q286" t="inlineStr">
        <is>
          <t>Series in death education, aging, and health care</t>
        </is>
      </c>
      <c r="R286" t="inlineStr">
        <is>
          <t xml:space="preserve">R  </t>
        </is>
      </c>
      <c r="S286" t="n">
        <v>6</v>
      </c>
      <c r="T286" t="n">
        <v>6</v>
      </c>
      <c r="U286" t="inlineStr">
        <is>
          <t>1997-03-17</t>
        </is>
      </c>
      <c r="V286" t="inlineStr">
        <is>
          <t>1997-03-17</t>
        </is>
      </c>
      <c r="W286" t="inlineStr">
        <is>
          <t>1990-02-02</t>
        </is>
      </c>
      <c r="X286" t="inlineStr">
        <is>
          <t>1990-02-02</t>
        </is>
      </c>
      <c r="Y286" t="n">
        <v>364</v>
      </c>
      <c r="Z286" t="n">
        <v>286</v>
      </c>
      <c r="AA286" t="n">
        <v>293</v>
      </c>
      <c r="AB286" t="n">
        <v>2</v>
      </c>
      <c r="AC286" t="n">
        <v>2</v>
      </c>
      <c r="AD286" t="n">
        <v>13</v>
      </c>
      <c r="AE286" t="n">
        <v>13</v>
      </c>
      <c r="AF286" t="n">
        <v>6</v>
      </c>
      <c r="AG286" t="n">
        <v>6</v>
      </c>
      <c r="AH286" t="n">
        <v>2</v>
      </c>
      <c r="AI286" t="n">
        <v>2</v>
      </c>
      <c r="AJ286" t="n">
        <v>8</v>
      </c>
      <c r="AK286" t="n">
        <v>8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HYPERLINK("http://catalog.hathitrust.org/Record/000821763","HathiTrust Record")</f>
        <v/>
      </c>
      <c r="AS286">
        <f>HYPERLINK("https://creighton-primo.hosted.exlibrisgroup.com/primo-explore/search?tab=default_tab&amp;search_scope=EVERYTHING&amp;vid=01CRU&amp;lang=en_US&amp;offset=0&amp;query=any,contains,991000649679702656","Catalog Record")</f>
        <v/>
      </c>
      <c r="AT286">
        <f>HYPERLINK("http://www.worldcat.org/oclc/12161945","WorldCat Record")</f>
        <v/>
      </c>
    </row>
    <row r="287">
      <c r="A287" t="inlineStr">
        <is>
          <t>No</t>
        </is>
      </c>
      <c r="B287" t="inlineStr">
        <is>
          <t>R726.8 .W46</t>
        </is>
      </c>
      <c r="C287" t="inlineStr">
        <is>
          <t>0                      R  0726800W  46</t>
        </is>
      </c>
      <c r="D287" t="inlineStr">
        <is>
          <t>To those who need it most, hospice means hope / Kenneth B. Wentzel.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Wentzel, Kenneth B.</t>
        </is>
      </c>
      <c r="L287" t="inlineStr">
        <is>
          <t>Boston : Charles River Books, 1981.</t>
        </is>
      </c>
      <c r="M287" t="inlineStr">
        <is>
          <t>1980</t>
        </is>
      </c>
      <c r="O287" t="inlineStr">
        <is>
          <t>eng</t>
        </is>
      </c>
      <c r="P287" t="inlineStr">
        <is>
          <t>mau</t>
        </is>
      </c>
      <c r="R287" t="inlineStr">
        <is>
          <t xml:space="preserve">R  </t>
        </is>
      </c>
      <c r="S287" t="n">
        <v>1</v>
      </c>
      <c r="T287" t="n">
        <v>1</v>
      </c>
      <c r="U287" t="inlineStr">
        <is>
          <t>1992-12-16</t>
        </is>
      </c>
      <c r="V287" t="inlineStr">
        <is>
          <t>1992-12-16</t>
        </is>
      </c>
      <c r="W287" t="inlineStr">
        <is>
          <t>1992-03-24</t>
        </is>
      </c>
      <c r="X287" t="inlineStr">
        <is>
          <t>1992-03-24</t>
        </is>
      </c>
      <c r="Y287" t="n">
        <v>402</v>
      </c>
      <c r="Z287" t="n">
        <v>389</v>
      </c>
      <c r="AA287" t="n">
        <v>395</v>
      </c>
      <c r="AB287" t="n">
        <v>3</v>
      </c>
      <c r="AC287" t="n">
        <v>3</v>
      </c>
      <c r="AD287" t="n">
        <v>10</v>
      </c>
      <c r="AE287" t="n">
        <v>10</v>
      </c>
      <c r="AF287" t="n">
        <v>4</v>
      </c>
      <c r="AG287" t="n">
        <v>4</v>
      </c>
      <c r="AH287" t="n">
        <v>1</v>
      </c>
      <c r="AI287" t="n">
        <v>1</v>
      </c>
      <c r="AJ287" t="n">
        <v>6</v>
      </c>
      <c r="AK287" t="n">
        <v>6</v>
      </c>
      <c r="AL287" t="n">
        <v>1</v>
      </c>
      <c r="AM287" t="n">
        <v>1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HYPERLINK("http://catalog.hathitrust.org/Record/009915299","HathiTrust Record")</f>
        <v/>
      </c>
      <c r="AS287">
        <f>HYPERLINK("https://creighton-primo.hosted.exlibrisgroup.com/primo-explore/search?tab=default_tab&amp;search_scope=EVERYTHING&amp;vid=01CRU&amp;lang=en_US&amp;offset=0&amp;query=any,contains,991005028009702656","Catalog Record")</f>
        <v/>
      </c>
      <c r="AT287">
        <f>HYPERLINK("http://www.worldcat.org/oclc/6707933","WorldCat Record")</f>
        <v/>
      </c>
    </row>
    <row r="288">
      <c r="A288" t="inlineStr">
        <is>
          <t>No</t>
        </is>
      </c>
      <c r="B288" t="inlineStr">
        <is>
          <t>R727 .L3</t>
        </is>
      </c>
      <c r="C288" t="inlineStr">
        <is>
          <t>0                      R  0727000L  3</t>
        </is>
      </c>
      <c r="D288" t="inlineStr">
        <is>
          <t>Handbook of medical ethics for nurses, physicians and priests / by S. A. La Rochelle and C. T. Fink ; pref. by the Most Rev. James C. McGuigan ; translated from the 4th French ed. by M. E. Poupore [et al]</t>
        </is>
      </c>
      <c r="F288" t="inlineStr">
        <is>
          <t>No</t>
        </is>
      </c>
      <c r="G288" t="inlineStr">
        <is>
          <t>1</t>
        </is>
      </c>
      <c r="H288" t="inlineStr">
        <is>
          <t>Yes</t>
        </is>
      </c>
      <c r="I288" t="inlineStr">
        <is>
          <t>No</t>
        </is>
      </c>
      <c r="J288" t="inlineStr">
        <is>
          <t>0</t>
        </is>
      </c>
      <c r="K288" t="inlineStr">
        <is>
          <t>Larochelle, Stanislas.</t>
        </is>
      </c>
      <c r="L288" t="inlineStr">
        <is>
          <t>Westminster, Md. : Newman Press, 1948.</t>
        </is>
      </c>
      <c r="M288" t="inlineStr">
        <is>
          <t>1948</t>
        </is>
      </c>
      <c r="N288" t="inlineStr">
        <is>
          <t>[8th ed.] --</t>
        </is>
      </c>
      <c r="O288" t="inlineStr">
        <is>
          <t>eng</t>
        </is>
      </c>
      <c r="P288" t="inlineStr">
        <is>
          <t>mdu</t>
        </is>
      </c>
      <c r="R288" t="inlineStr">
        <is>
          <t xml:space="preserve">R  </t>
        </is>
      </c>
      <c r="S288" t="n">
        <v>3</v>
      </c>
      <c r="T288" t="n">
        <v>5</v>
      </c>
      <c r="U288" t="inlineStr">
        <is>
          <t>1994-03-01</t>
        </is>
      </c>
      <c r="V288" t="inlineStr">
        <is>
          <t>1994-03-01</t>
        </is>
      </c>
      <c r="W288" t="inlineStr">
        <is>
          <t>1992-03-12</t>
        </is>
      </c>
      <c r="X288" t="inlineStr">
        <is>
          <t>1992-03-12</t>
        </is>
      </c>
      <c r="Y288" t="n">
        <v>14</v>
      </c>
      <c r="Z288" t="n">
        <v>12</v>
      </c>
      <c r="AA288" t="n">
        <v>65</v>
      </c>
      <c r="AB288" t="n">
        <v>2</v>
      </c>
      <c r="AC288" t="n">
        <v>3</v>
      </c>
      <c r="AD288" t="n">
        <v>3</v>
      </c>
      <c r="AE288" t="n">
        <v>11</v>
      </c>
      <c r="AF288" t="n">
        <v>0</v>
      </c>
      <c r="AG288" t="n">
        <v>1</v>
      </c>
      <c r="AH288" t="n">
        <v>1</v>
      </c>
      <c r="AI288" t="n">
        <v>3</v>
      </c>
      <c r="AJ288" t="n">
        <v>2</v>
      </c>
      <c r="AK288" t="n">
        <v>7</v>
      </c>
      <c r="AL288" t="n">
        <v>0</v>
      </c>
      <c r="AM288" t="n">
        <v>0</v>
      </c>
      <c r="AN288" t="n">
        <v>0</v>
      </c>
      <c r="AO288" t="n">
        <v>1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HYPERLINK("https://creighton-primo.hosted.exlibrisgroup.com/primo-explore/search?tab=default_tab&amp;search_scope=EVERYTHING&amp;vid=01CRU&amp;lang=en_US&amp;offset=0&amp;query=any,contains,991001792239702656","Catalog Record")</f>
        <v/>
      </c>
      <c r="AT288">
        <f>HYPERLINK("http://www.worldcat.org/oclc/4355579","WorldCat Record")</f>
        <v/>
      </c>
    </row>
    <row r="289">
      <c r="A289" t="inlineStr">
        <is>
          <t>No</t>
        </is>
      </c>
      <c r="B289" t="inlineStr">
        <is>
          <t>R727 .T64 1976</t>
        </is>
      </c>
      <c r="C289" t="inlineStr">
        <is>
          <t>0                      R  0727000T  64          1976</t>
        </is>
      </c>
      <c r="D289" t="inlineStr">
        <is>
          <t>Limits of medicine : the doctor's job in the coming era : [proceedings of the Totts Gap Colloquium on the Limits of Medicine--the Doctor's Job in the Coming Era, held in Totts Gap, Pennsylvania, June 10-12, 1976] / edited by Stewart G. Wolf and Beatrice Bishop Berle.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Totts Gap Colloquium on the Limits of Medicine--the Doctor's Job in the Coming Era (1976)</t>
        </is>
      </c>
      <c r="L289" t="inlineStr">
        <is>
          <t>New York : Plenum Press, c1978.</t>
        </is>
      </c>
      <c r="M289" t="inlineStr">
        <is>
          <t>1978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R  </t>
        </is>
      </c>
      <c r="S289" t="n">
        <v>4</v>
      </c>
      <c r="T289" t="n">
        <v>4</v>
      </c>
      <c r="U289" t="inlineStr">
        <is>
          <t>1996-10-16</t>
        </is>
      </c>
      <c r="V289" t="inlineStr">
        <is>
          <t>1996-10-16</t>
        </is>
      </c>
      <c r="W289" t="inlineStr">
        <is>
          <t>1993-03-08</t>
        </is>
      </c>
      <c r="X289" t="inlineStr">
        <is>
          <t>1993-03-08</t>
        </is>
      </c>
      <c r="Y289" t="n">
        <v>168</v>
      </c>
      <c r="Z289" t="n">
        <v>132</v>
      </c>
      <c r="AA289" t="n">
        <v>145</v>
      </c>
      <c r="AB289" t="n">
        <v>2</v>
      </c>
      <c r="AC289" t="n">
        <v>2</v>
      </c>
      <c r="AD289" t="n">
        <v>3</v>
      </c>
      <c r="AE289" t="n">
        <v>4</v>
      </c>
      <c r="AF289" t="n">
        <v>0</v>
      </c>
      <c r="AG289" t="n">
        <v>1</v>
      </c>
      <c r="AH289" t="n">
        <v>2</v>
      </c>
      <c r="AI289" t="n">
        <v>2</v>
      </c>
      <c r="AJ289" t="n">
        <v>2</v>
      </c>
      <c r="AK289" t="n">
        <v>3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HYPERLINK("https://creighton-primo.hosted.exlibrisgroup.com/primo-explore/search?tab=default_tab&amp;search_scope=EVERYTHING&amp;vid=01CRU&amp;lang=en_US&amp;offset=0&amp;query=any,contains,991004487909702656","Catalog Record")</f>
        <v/>
      </c>
      <c r="AT289">
        <f>HYPERLINK("http://www.worldcat.org/oclc/3649971","WorldCat Record")</f>
        <v/>
      </c>
    </row>
    <row r="290">
      <c r="A290" t="inlineStr">
        <is>
          <t>No</t>
        </is>
      </c>
      <c r="B290" t="inlineStr">
        <is>
          <t>R727.3 .B34</t>
        </is>
      </c>
      <c r="C290" t="inlineStr">
        <is>
          <t>0                      R  0727300B  34</t>
        </is>
      </c>
      <c r="D290" t="inlineStr">
        <is>
          <t>Informed consent in medical therapy and research / Bernard Barber.</t>
        </is>
      </c>
      <c r="F290" t="inlineStr">
        <is>
          <t>No</t>
        </is>
      </c>
      <c r="G290" t="inlineStr">
        <is>
          <t>1</t>
        </is>
      </c>
      <c r="H290" t="inlineStr">
        <is>
          <t>Yes</t>
        </is>
      </c>
      <c r="I290" t="inlineStr">
        <is>
          <t>No</t>
        </is>
      </c>
      <c r="J290" t="inlineStr">
        <is>
          <t>0</t>
        </is>
      </c>
      <c r="K290" t="inlineStr">
        <is>
          <t>Barber, Bernard.</t>
        </is>
      </c>
      <c r="L290" t="inlineStr">
        <is>
          <t>New Brunswick, N.J. : Rutgers University Press, c1980.</t>
        </is>
      </c>
      <c r="M290" t="inlineStr">
        <is>
          <t>1980</t>
        </is>
      </c>
      <c r="O290" t="inlineStr">
        <is>
          <t>eng</t>
        </is>
      </c>
      <c r="P290" t="inlineStr">
        <is>
          <t>nju</t>
        </is>
      </c>
      <c r="R290" t="inlineStr">
        <is>
          <t xml:space="preserve">R  </t>
        </is>
      </c>
      <c r="S290" t="n">
        <v>9</v>
      </c>
      <c r="T290" t="n">
        <v>9</v>
      </c>
      <c r="U290" t="inlineStr">
        <is>
          <t>2008-01-19</t>
        </is>
      </c>
      <c r="V290" t="inlineStr">
        <is>
          <t>2008-01-19</t>
        </is>
      </c>
      <c r="W290" t="inlineStr">
        <is>
          <t>1993-03-08</t>
        </is>
      </c>
      <c r="X290" t="inlineStr">
        <is>
          <t>1993-03-08</t>
        </is>
      </c>
      <c r="Y290" t="n">
        <v>451</v>
      </c>
      <c r="Z290" t="n">
        <v>384</v>
      </c>
      <c r="AA290" t="n">
        <v>388</v>
      </c>
      <c r="AB290" t="n">
        <v>5</v>
      </c>
      <c r="AC290" t="n">
        <v>5</v>
      </c>
      <c r="AD290" t="n">
        <v>20</v>
      </c>
      <c r="AE290" t="n">
        <v>20</v>
      </c>
      <c r="AF290" t="n">
        <v>2</v>
      </c>
      <c r="AG290" t="n">
        <v>2</v>
      </c>
      <c r="AH290" t="n">
        <v>2</v>
      </c>
      <c r="AI290" t="n">
        <v>2</v>
      </c>
      <c r="AJ290" t="n">
        <v>5</v>
      </c>
      <c r="AK290" t="n">
        <v>5</v>
      </c>
      <c r="AL290" t="n">
        <v>2</v>
      </c>
      <c r="AM290" t="n">
        <v>2</v>
      </c>
      <c r="AN290" t="n">
        <v>11</v>
      </c>
      <c r="AO290" t="n">
        <v>11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HYPERLINK("http://catalog.hathitrust.org/Record/000029533","HathiTrust Record")</f>
        <v/>
      </c>
      <c r="AS290">
        <f>HYPERLINK("https://creighton-primo.hosted.exlibrisgroup.com/primo-explore/search?tab=default_tab&amp;search_scope=EVERYTHING&amp;vid=01CRU&amp;lang=en_US&amp;offset=0&amp;query=any,contains,991004825049702656","Catalog Record")</f>
        <v/>
      </c>
      <c r="AT290">
        <f>HYPERLINK("http://www.worldcat.org/oclc/5353160","WorldCat Record")</f>
        <v/>
      </c>
    </row>
    <row r="291">
      <c r="A291" t="inlineStr">
        <is>
          <t>No</t>
        </is>
      </c>
      <c r="B291" t="inlineStr">
        <is>
          <t>R727.3 .B76 1983</t>
        </is>
      </c>
      <c r="C291" t="inlineStr">
        <is>
          <t>0                      R  0727300B  76          1983</t>
        </is>
      </c>
      <c r="D291" t="inlineStr">
        <is>
          <t>Managing patients and stress effectively : a skills manual for the health professional / by James C. Brown and John D. Blakeman.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Brown, James C.</t>
        </is>
      </c>
      <c r="L291" t="inlineStr">
        <is>
          <t>Springfield, Ill., U.S.A. : C.C. Thomas, c1983.</t>
        </is>
      </c>
      <c r="M291" t="inlineStr">
        <is>
          <t>1983</t>
        </is>
      </c>
      <c r="O291" t="inlineStr">
        <is>
          <t>eng</t>
        </is>
      </c>
      <c r="P291" t="inlineStr">
        <is>
          <t>ilu</t>
        </is>
      </c>
      <c r="R291" t="inlineStr">
        <is>
          <t xml:space="preserve">R  </t>
        </is>
      </c>
      <c r="S291" t="n">
        <v>9</v>
      </c>
      <c r="T291" t="n">
        <v>9</v>
      </c>
      <c r="U291" t="inlineStr">
        <is>
          <t>2006-10-13</t>
        </is>
      </c>
      <c r="V291" t="inlineStr">
        <is>
          <t>2006-10-13</t>
        </is>
      </c>
      <c r="W291" t="inlineStr">
        <is>
          <t>1992-03-24</t>
        </is>
      </c>
      <c r="X291" t="inlineStr">
        <is>
          <t>1992-03-24</t>
        </is>
      </c>
      <c r="Y291" t="n">
        <v>91</v>
      </c>
      <c r="Z291" t="n">
        <v>70</v>
      </c>
      <c r="AA291" t="n">
        <v>72</v>
      </c>
      <c r="AB291" t="n">
        <v>1</v>
      </c>
      <c r="AC291" t="n">
        <v>1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HYPERLINK("http://catalog.hathitrust.org/Record/000200612","HathiTrust Record")</f>
        <v/>
      </c>
      <c r="AS291">
        <f>HYPERLINK("https://creighton-primo.hosted.exlibrisgroup.com/primo-explore/search?tab=default_tab&amp;search_scope=EVERYTHING&amp;vid=01CRU&amp;lang=en_US&amp;offset=0&amp;query=any,contains,991000201969702656","Catalog Record")</f>
        <v/>
      </c>
      <c r="AT291">
        <f>HYPERLINK("http://www.worldcat.org/oclc/9465476","WorldCat Record")</f>
        <v/>
      </c>
    </row>
    <row r="292">
      <c r="A292" t="inlineStr">
        <is>
          <t>No</t>
        </is>
      </c>
      <c r="B292" t="inlineStr">
        <is>
          <t>R727.3 .C53 1983</t>
        </is>
      </c>
      <c r="C292" t="inlineStr">
        <is>
          <t>0                      R  0727300C  53          1983</t>
        </is>
      </c>
      <c r="D292" t="inlineStr">
        <is>
          <t>The Clinical encounter : the moral fabric of the patient-physician relationship / edited by Earl E. Shelp.</t>
        </is>
      </c>
      <c r="F292" t="inlineStr">
        <is>
          <t>No</t>
        </is>
      </c>
      <c r="G292" t="inlineStr">
        <is>
          <t>1</t>
        </is>
      </c>
      <c r="H292" t="inlineStr">
        <is>
          <t>Yes</t>
        </is>
      </c>
      <c r="I292" t="inlineStr">
        <is>
          <t>No</t>
        </is>
      </c>
      <c r="J292" t="inlineStr">
        <is>
          <t>0</t>
        </is>
      </c>
      <c r="L292" t="inlineStr">
        <is>
          <t>Dordrecht ; Boston : D. Reidel ; Hingham, MA : Sold and distributed in the U.S.A. and Canada by Kluwer Academic Publishers, c1983.</t>
        </is>
      </c>
      <c r="M292" t="inlineStr">
        <is>
          <t>1983</t>
        </is>
      </c>
      <c r="O292" t="inlineStr">
        <is>
          <t>eng</t>
        </is>
      </c>
      <c r="P292" t="inlineStr">
        <is>
          <t xml:space="preserve">ne </t>
        </is>
      </c>
      <c r="Q292" t="inlineStr">
        <is>
          <t>Philosophy and medicine ; v. 14</t>
        </is>
      </c>
      <c r="R292" t="inlineStr">
        <is>
          <t xml:space="preserve">R  </t>
        </is>
      </c>
      <c r="S292" t="n">
        <v>6</v>
      </c>
      <c r="T292" t="n">
        <v>9</v>
      </c>
      <c r="U292" t="inlineStr">
        <is>
          <t>1999-03-22</t>
        </is>
      </c>
      <c r="V292" t="inlineStr">
        <is>
          <t>2003-11-07</t>
        </is>
      </c>
      <c r="W292" t="inlineStr">
        <is>
          <t>1992-05-01</t>
        </is>
      </c>
      <c r="X292" t="inlineStr">
        <is>
          <t>1992-05-01</t>
        </is>
      </c>
      <c r="Y292" t="n">
        <v>292</v>
      </c>
      <c r="Z292" t="n">
        <v>229</v>
      </c>
      <c r="AA292" t="n">
        <v>239</v>
      </c>
      <c r="AB292" t="n">
        <v>2</v>
      </c>
      <c r="AC292" t="n">
        <v>2</v>
      </c>
      <c r="AD292" t="n">
        <v>17</v>
      </c>
      <c r="AE292" t="n">
        <v>18</v>
      </c>
      <c r="AF292" t="n">
        <v>5</v>
      </c>
      <c r="AG292" t="n">
        <v>6</v>
      </c>
      <c r="AH292" t="n">
        <v>5</v>
      </c>
      <c r="AI292" t="n">
        <v>5</v>
      </c>
      <c r="AJ292" t="n">
        <v>12</v>
      </c>
      <c r="AK292" t="n">
        <v>13</v>
      </c>
      <c r="AL292" t="n">
        <v>0</v>
      </c>
      <c r="AM292" t="n">
        <v>0</v>
      </c>
      <c r="AN292" t="n">
        <v>1</v>
      </c>
      <c r="AO292" t="n">
        <v>1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HYPERLINK("https://creighton-primo.hosted.exlibrisgroup.com/primo-explore/search?tab=default_tab&amp;search_scope=EVERYTHING&amp;vid=01CRU&amp;lang=en_US&amp;offset=0&amp;query=any,contains,991001806029702656","Catalog Record")</f>
        <v/>
      </c>
      <c r="AT292">
        <f>HYPERLINK("http://www.worldcat.org/oclc/9896299","WorldCat Record")</f>
        <v/>
      </c>
    </row>
    <row r="293">
      <c r="A293" t="inlineStr">
        <is>
          <t>No</t>
        </is>
      </c>
      <c r="B293" t="inlineStr">
        <is>
          <t>R727.3 .D63 1983</t>
        </is>
      </c>
      <c r="C293" t="inlineStr">
        <is>
          <t>0                      R  0727300D  63          1983</t>
        </is>
      </c>
      <c r="D293" t="inlineStr">
        <is>
          <t>Doctor-patient communication / edited by David Pendleton and John Hasler.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London : Academic Press, 1983</t>
        </is>
      </c>
      <c r="M293" t="inlineStr">
        <is>
          <t>1983</t>
        </is>
      </c>
      <c r="O293" t="inlineStr">
        <is>
          <t>eng</t>
        </is>
      </c>
      <c r="P293" t="inlineStr">
        <is>
          <t>enk</t>
        </is>
      </c>
      <c r="R293" t="inlineStr">
        <is>
          <t xml:space="preserve">R  </t>
        </is>
      </c>
      <c r="S293" t="n">
        <v>15</v>
      </c>
      <c r="T293" t="n">
        <v>15</v>
      </c>
      <c r="U293" t="inlineStr">
        <is>
          <t>2003-03-26</t>
        </is>
      </c>
      <c r="V293" t="inlineStr">
        <is>
          <t>2003-03-26</t>
        </is>
      </c>
      <c r="W293" t="inlineStr">
        <is>
          <t>1991-11-13</t>
        </is>
      </c>
      <c r="X293" t="inlineStr">
        <is>
          <t>1991-11-13</t>
        </is>
      </c>
      <c r="Y293" t="n">
        <v>289</v>
      </c>
      <c r="Z293" t="n">
        <v>176</v>
      </c>
      <c r="AA293" t="n">
        <v>179</v>
      </c>
      <c r="AB293" t="n">
        <v>2</v>
      </c>
      <c r="AC293" t="n">
        <v>2</v>
      </c>
      <c r="AD293" t="n">
        <v>7</v>
      </c>
      <c r="AE293" t="n">
        <v>7</v>
      </c>
      <c r="AF293" t="n">
        <v>0</v>
      </c>
      <c r="AG293" t="n">
        <v>0</v>
      </c>
      <c r="AH293" t="n">
        <v>1</v>
      </c>
      <c r="AI293" t="n">
        <v>1</v>
      </c>
      <c r="AJ293" t="n">
        <v>6</v>
      </c>
      <c r="AK293" t="n">
        <v>6</v>
      </c>
      <c r="AL293" t="n">
        <v>1</v>
      </c>
      <c r="AM293" t="n">
        <v>1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HYPERLINK("http://catalog.hathitrust.org/Record/000196939","HathiTrust Record")</f>
        <v/>
      </c>
      <c r="AS293">
        <f>HYPERLINK("https://creighton-primo.hosted.exlibrisgroup.com/primo-explore/search?tab=default_tab&amp;search_scope=EVERYTHING&amp;vid=01CRU&amp;lang=en_US&amp;offset=0&amp;query=any,contains,991000210409702656","Catalog Record")</f>
        <v/>
      </c>
      <c r="AT293">
        <f>HYPERLINK("http://www.worldcat.org/oclc/9534669","WorldCat Record")</f>
        <v/>
      </c>
    </row>
    <row r="294">
      <c r="A294" t="inlineStr">
        <is>
          <t>No</t>
        </is>
      </c>
      <c r="B294" t="inlineStr">
        <is>
          <t>R727.3 .E47</t>
        </is>
      </c>
      <c r="C294" t="inlineStr">
        <is>
          <t>0                      R  0727300E  47</t>
        </is>
      </c>
      <c r="D294" t="inlineStr">
        <is>
          <t>The client-clinician relationship : essays on interpersonal sensitivity in the therapeutic transaction / edited by Lon L. Emerick and Stephen B. Hood.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Emerick, Lon L.</t>
        </is>
      </c>
      <c r="L294" t="inlineStr">
        <is>
          <t>Springfield, Ill. : Thomas, [1974]</t>
        </is>
      </c>
      <c r="M294" t="inlineStr">
        <is>
          <t>1974</t>
        </is>
      </c>
      <c r="O294" t="inlineStr">
        <is>
          <t>eng</t>
        </is>
      </c>
      <c r="P294" t="inlineStr">
        <is>
          <t>ilu</t>
        </is>
      </c>
      <c r="R294" t="inlineStr">
        <is>
          <t xml:space="preserve">R  </t>
        </is>
      </c>
      <c r="S294" t="n">
        <v>5</v>
      </c>
      <c r="T294" t="n">
        <v>5</v>
      </c>
      <c r="U294" t="inlineStr">
        <is>
          <t>2003-03-26</t>
        </is>
      </c>
      <c r="V294" t="inlineStr">
        <is>
          <t>2003-03-26</t>
        </is>
      </c>
      <c r="W294" t="inlineStr">
        <is>
          <t>1992-03-25</t>
        </is>
      </c>
      <c r="X294" t="inlineStr">
        <is>
          <t>1992-03-25</t>
        </is>
      </c>
      <c r="Y294" t="n">
        <v>201</v>
      </c>
      <c r="Z294" t="n">
        <v>167</v>
      </c>
      <c r="AA294" t="n">
        <v>169</v>
      </c>
      <c r="AB294" t="n">
        <v>2</v>
      </c>
      <c r="AC294" t="n">
        <v>2</v>
      </c>
      <c r="AD294" t="n">
        <v>5</v>
      </c>
      <c r="AE294" t="n">
        <v>5</v>
      </c>
      <c r="AF294" t="n">
        <v>2</v>
      </c>
      <c r="AG294" t="n">
        <v>2</v>
      </c>
      <c r="AH294" t="n">
        <v>1</v>
      </c>
      <c r="AI294" t="n">
        <v>1</v>
      </c>
      <c r="AJ294" t="n">
        <v>3</v>
      </c>
      <c r="AK294" t="n">
        <v>3</v>
      </c>
      <c r="AL294" t="n">
        <v>1</v>
      </c>
      <c r="AM294" t="n">
        <v>1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HYPERLINK("http://catalog.hathitrust.org/Record/001588216","HathiTrust Record")</f>
        <v/>
      </c>
      <c r="AS294">
        <f>HYPERLINK("https://creighton-primo.hosted.exlibrisgroup.com/primo-explore/search?tab=default_tab&amp;search_scope=EVERYTHING&amp;vid=01CRU&amp;lang=en_US&amp;offset=0&amp;query=any,contains,991003165359702656","Catalog Record")</f>
        <v/>
      </c>
      <c r="AT294">
        <f>HYPERLINK("http://www.worldcat.org/oclc/703096","WorldCat Record")</f>
        <v/>
      </c>
    </row>
    <row r="295">
      <c r="A295" t="inlineStr">
        <is>
          <t>No</t>
        </is>
      </c>
      <c r="B295" t="inlineStr">
        <is>
          <t>R727.3 .E52 1987</t>
        </is>
      </c>
      <c r="C295" t="inlineStr">
        <is>
          <t>0                      R  0727300E  52          1987</t>
        </is>
      </c>
      <c r="D295" t="inlineStr">
        <is>
          <t>Encounters between patients and doctors : an anthology / edited by John D. Stoeckle.</t>
        </is>
      </c>
      <c r="F295" t="inlineStr">
        <is>
          <t>No</t>
        </is>
      </c>
      <c r="G295" t="inlineStr">
        <is>
          <t>1</t>
        </is>
      </c>
      <c r="H295" t="inlineStr">
        <is>
          <t>Yes</t>
        </is>
      </c>
      <c r="I295" t="inlineStr">
        <is>
          <t>No</t>
        </is>
      </c>
      <c r="J295" t="inlineStr">
        <is>
          <t>0</t>
        </is>
      </c>
      <c r="L295" t="inlineStr">
        <is>
          <t>Cambridge, Mass. : MIP Press, c1987.</t>
        </is>
      </c>
      <c r="M295" t="inlineStr">
        <is>
          <t>1987</t>
        </is>
      </c>
      <c r="O295" t="inlineStr">
        <is>
          <t>eng</t>
        </is>
      </c>
      <c r="P295" t="inlineStr">
        <is>
          <t>mau</t>
        </is>
      </c>
      <c r="Q295" t="inlineStr">
        <is>
          <t>MIT Press series on the humanistic and social dimensions of medicine ; 5</t>
        </is>
      </c>
      <c r="R295" t="inlineStr">
        <is>
          <t xml:space="preserve">R  </t>
        </is>
      </c>
      <c r="S295" t="n">
        <v>13</v>
      </c>
      <c r="T295" t="n">
        <v>13</v>
      </c>
      <c r="U295" t="inlineStr">
        <is>
          <t>2009-10-12</t>
        </is>
      </c>
      <c r="V295" t="inlineStr">
        <is>
          <t>2009-10-12</t>
        </is>
      </c>
      <c r="W295" t="inlineStr">
        <is>
          <t>1991-11-13</t>
        </is>
      </c>
      <c r="X295" t="inlineStr">
        <is>
          <t>1991-11-13</t>
        </is>
      </c>
      <c r="Y295" t="n">
        <v>271</v>
      </c>
      <c r="Z295" t="n">
        <v>214</v>
      </c>
      <c r="AA295" t="n">
        <v>221</v>
      </c>
      <c r="AB295" t="n">
        <v>2</v>
      </c>
      <c r="AC295" t="n">
        <v>2</v>
      </c>
      <c r="AD295" t="n">
        <v>10</v>
      </c>
      <c r="AE295" t="n">
        <v>10</v>
      </c>
      <c r="AF295" t="n">
        <v>3</v>
      </c>
      <c r="AG295" t="n">
        <v>3</v>
      </c>
      <c r="AH295" t="n">
        <v>5</v>
      </c>
      <c r="AI295" t="n">
        <v>5</v>
      </c>
      <c r="AJ295" t="n">
        <v>8</v>
      </c>
      <c r="AK295" t="n">
        <v>8</v>
      </c>
      <c r="AL295" t="n">
        <v>0</v>
      </c>
      <c r="AM295" t="n">
        <v>0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HYPERLINK("http://catalog.hathitrust.org/Record/000811226","HathiTrust Record")</f>
        <v/>
      </c>
      <c r="AS295">
        <f>HYPERLINK("https://creighton-primo.hosted.exlibrisgroup.com/primo-explore/search?tab=default_tab&amp;search_scope=EVERYTHING&amp;vid=01CRU&amp;lang=en_US&amp;offset=0&amp;query=any,contains,991000871489702656","Catalog Record")</f>
        <v/>
      </c>
      <c r="AT295">
        <f>HYPERLINK("http://www.worldcat.org/oclc/13793062","WorldCat Record")</f>
        <v/>
      </c>
    </row>
    <row r="296">
      <c r="A296" t="inlineStr">
        <is>
          <t>No</t>
        </is>
      </c>
      <c r="B296" t="inlineStr">
        <is>
          <t>R727.3 .L55</t>
        </is>
      </c>
      <c r="C296" t="inlineStr">
        <is>
          <t>0                      R  0727300L  55</t>
        </is>
      </c>
      <c r="D296" t="inlineStr">
        <is>
          <t>The bitter pill : doctors, patients, and failed expectations / Martin R. Lipp.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Lipp, Martin R., 1940-</t>
        </is>
      </c>
      <c r="L296" t="inlineStr">
        <is>
          <t>New York : Harper &amp; Row, c1980.</t>
        </is>
      </c>
      <c r="M296" t="inlineStr">
        <is>
          <t>1980</t>
        </is>
      </c>
      <c r="N296" t="inlineStr">
        <is>
          <t>1st ed.</t>
        </is>
      </c>
      <c r="O296" t="inlineStr">
        <is>
          <t>eng</t>
        </is>
      </c>
      <c r="P296" t="inlineStr">
        <is>
          <t>nyu</t>
        </is>
      </c>
      <c r="R296" t="inlineStr">
        <is>
          <t xml:space="preserve">R  </t>
        </is>
      </c>
      <c r="S296" t="n">
        <v>6</v>
      </c>
      <c r="T296" t="n">
        <v>6</v>
      </c>
      <c r="U296" t="inlineStr">
        <is>
          <t>2006-10-13</t>
        </is>
      </c>
      <c r="V296" t="inlineStr">
        <is>
          <t>2006-10-13</t>
        </is>
      </c>
      <c r="W296" t="inlineStr">
        <is>
          <t>1991-12-06</t>
        </is>
      </c>
      <c r="X296" t="inlineStr">
        <is>
          <t>1991-12-06</t>
        </is>
      </c>
      <c r="Y296" t="n">
        <v>292</v>
      </c>
      <c r="Z296" t="n">
        <v>278</v>
      </c>
      <c r="AA296" t="n">
        <v>286</v>
      </c>
      <c r="AB296" t="n">
        <v>5</v>
      </c>
      <c r="AC296" t="n">
        <v>5</v>
      </c>
      <c r="AD296" t="n">
        <v>11</v>
      </c>
      <c r="AE296" t="n">
        <v>11</v>
      </c>
      <c r="AF296" t="n">
        <v>3</v>
      </c>
      <c r="AG296" t="n">
        <v>3</v>
      </c>
      <c r="AH296" t="n">
        <v>0</v>
      </c>
      <c r="AI296" t="n">
        <v>0</v>
      </c>
      <c r="AJ296" t="n">
        <v>8</v>
      </c>
      <c r="AK296" t="n">
        <v>8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HYPERLINK("http://catalog.hathitrust.org/Record/000181991","HathiTrust Record")</f>
        <v/>
      </c>
      <c r="AS296">
        <f>HYPERLINK("https://creighton-primo.hosted.exlibrisgroup.com/primo-explore/search?tab=default_tab&amp;search_scope=EVERYTHING&amp;vid=01CRU&amp;lang=en_US&amp;offset=0&amp;query=any,contains,991004986009702656","Catalog Record")</f>
        <v/>
      </c>
      <c r="AT296">
        <f>HYPERLINK("http://www.worldcat.org/oclc/6448318","WorldCat Record")</f>
        <v/>
      </c>
    </row>
    <row r="297">
      <c r="A297" t="inlineStr">
        <is>
          <t>No</t>
        </is>
      </c>
      <c r="B297" t="inlineStr">
        <is>
          <t>R727.3 .M393 1998</t>
        </is>
      </c>
      <c r="C297" t="inlineStr">
        <is>
          <t>0                      R  0727300M  393         1998</t>
        </is>
      </c>
      <c r="D297" t="inlineStr">
        <is>
          <t>Medical risk and the right to an informed consent in clinical care and clinical research / [by Dennis J. Mazur].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Mazur, Dennis John.</t>
        </is>
      </c>
      <c r="L297" t="inlineStr">
        <is>
          <t>Tampa, Fla. : American College of Physician Executives, 1998.</t>
        </is>
      </c>
      <c r="M297" t="inlineStr">
        <is>
          <t>1998</t>
        </is>
      </c>
      <c r="O297" t="inlineStr">
        <is>
          <t>eng</t>
        </is>
      </c>
      <c r="P297" t="inlineStr">
        <is>
          <t>flu</t>
        </is>
      </c>
      <c r="R297" t="inlineStr">
        <is>
          <t xml:space="preserve">R  </t>
        </is>
      </c>
      <c r="S297" t="n">
        <v>7</v>
      </c>
      <c r="T297" t="n">
        <v>7</v>
      </c>
      <c r="U297" t="inlineStr">
        <is>
          <t>2008-02-16</t>
        </is>
      </c>
      <c r="V297" t="inlineStr">
        <is>
          <t>2008-02-16</t>
        </is>
      </c>
      <c r="W297" t="inlineStr">
        <is>
          <t>2002-03-21</t>
        </is>
      </c>
      <c r="X297" t="inlineStr">
        <is>
          <t>2002-03-21</t>
        </is>
      </c>
      <c r="Y297" t="n">
        <v>40</v>
      </c>
      <c r="Z297" t="n">
        <v>34</v>
      </c>
      <c r="AA297" t="n">
        <v>36</v>
      </c>
      <c r="AB297" t="n">
        <v>1</v>
      </c>
      <c r="AC297" t="n">
        <v>1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HYPERLINK("http://catalog.hathitrust.org/Record/004029698","HathiTrust Record")</f>
        <v/>
      </c>
      <c r="AS297">
        <f>HYPERLINK("https://creighton-primo.hosted.exlibrisgroup.com/primo-explore/search?tab=default_tab&amp;search_scope=EVERYTHING&amp;vid=01CRU&amp;lang=en_US&amp;offset=0&amp;query=any,contains,991003727669702656","Catalog Record")</f>
        <v/>
      </c>
      <c r="AT297">
        <f>HYPERLINK("http://www.worldcat.org/oclc/40019175","WorldCat Record")</f>
        <v/>
      </c>
    </row>
    <row r="298">
      <c r="A298" t="inlineStr">
        <is>
          <t>No</t>
        </is>
      </c>
      <c r="B298" t="inlineStr">
        <is>
          <t>R727.3 .O94 1999</t>
        </is>
      </c>
      <c r="C298" t="inlineStr">
        <is>
          <t>0                      R  0727300O  94          1999</t>
        </is>
      </c>
      <c r="D298" t="inlineStr">
        <is>
          <t>Hospitality to strangers : empathy in the physician-patient relationship / Dorothy M. Owens.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Owens, Dorothy M.</t>
        </is>
      </c>
      <c r="L298" t="inlineStr">
        <is>
          <t>Atlanta : Scholars Press, c1999.</t>
        </is>
      </c>
      <c r="M298" t="inlineStr">
        <is>
          <t>1999</t>
        </is>
      </c>
      <c r="O298" t="inlineStr">
        <is>
          <t>eng</t>
        </is>
      </c>
      <c r="P298" t="inlineStr">
        <is>
          <t>gau</t>
        </is>
      </c>
      <c r="Q298" t="inlineStr">
        <is>
          <t>American Academy of Religion academy series ; no. 100</t>
        </is>
      </c>
      <c r="R298" t="inlineStr">
        <is>
          <t xml:space="preserve">R  </t>
        </is>
      </c>
      <c r="S298" t="n">
        <v>4</v>
      </c>
      <c r="T298" t="n">
        <v>4</v>
      </c>
      <c r="U298" t="inlineStr">
        <is>
          <t>2005-06-27</t>
        </is>
      </c>
      <c r="V298" t="inlineStr">
        <is>
          <t>2005-06-27</t>
        </is>
      </c>
      <c r="W298" t="inlineStr">
        <is>
          <t>2001-02-06</t>
        </is>
      </c>
      <c r="X298" t="inlineStr">
        <is>
          <t>2001-02-06</t>
        </is>
      </c>
      <c r="Y298" t="n">
        <v>134</v>
      </c>
      <c r="Z298" t="n">
        <v>113</v>
      </c>
      <c r="AA298" t="n">
        <v>115</v>
      </c>
      <c r="AB298" t="n">
        <v>1</v>
      </c>
      <c r="AC298" t="n">
        <v>1</v>
      </c>
      <c r="AD298" t="n">
        <v>9</v>
      </c>
      <c r="AE298" t="n">
        <v>9</v>
      </c>
      <c r="AF298" t="n">
        <v>2</v>
      </c>
      <c r="AG298" t="n">
        <v>2</v>
      </c>
      <c r="AH298" t="n">
        <v>4</v>
      </c>
      <c r="AI298" t="n">
        <v>4</v>
      </c>
      <c r="AJ298" t="n">
        <v>6</v>
      </c>
      <c r="AK298" t="n">
        <v>6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HYPERLINK("http://catalog.hathitrust.org/Record/102011820","HathiTrust Record")</f>
        <v/>
      </c>
      <c r="AS298">
        <f>HYPERLINK("https://creighton-primo.hosted.exlibrisgroup.com/primo-explore/search?tab=default_tab&amp;search_scope=EVERYTHING&amp;vid=01CRU&amp;lang=en_US&amp;offset=0&amp;query=any,contains,991003472419702656","Catalog Record")</f>
        <v/>
      </c>
      <c r="AT298">
        <f>HYPERLINK("http://www.worldcat.org/oclc/42761859","WorldCat Record")</f>
        <v/>
      </c>
    </row>
    <row r="299">
      <c r="A299" t="inlineStr">
        <is>
          <t>No</t>
        </is>
      </c>
      <c r="B299" t="inlineStr">
        <is>
          <t>R727.3 .P47</t>
        </is>
      </c>
      <c r="C299" t="inlineStr">
        <is>
          <t>0                      R  0727300P  47</t>
        </is>
      </c>
      <c r="D299" t="inlineStr">
        <is>
          <t>Wholistic health care : the process of engagement : the initial health planning conference--an interdisciplinary approach to whole person health care / by William M. Peterson, Donald A. Tubesing, Nancy Loving Tubesing.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Peterson, William M. (William Manfred), 1942-</t>
        </is>
      </c>
      <c r="L299" t="inlineStr">
        <is>
          <t>Hinsdale, IL : Society for Wholistic Medicine, 1976.</t>
        </is>
      </c>
      <c r="M299" t="inlineStr">
        <is>
          <t>1976</t>
        </is>
      </c>
      <c r="N299" t="inlineStr">
        <is>
          <t>1st ed.</t>
        </is>
      </c>
      <c r="O299" t="inlineStr">
        <is>
          <t>eng</t>
        </is>
      </c>
      <c r="P299" t="inlineStr">
        <is>
          <t>ilu</t>
        </is>
      </c>
      <c r="Q299" t="inlineStr">
        <is>
          <t>Monographs on wholistic health care ; 4</t>
        </is>
      </c>
      <c r="R299" t="inlineStr">
        <is>
          <t xml:space="preserve">R  </t>
        </is>
      </c>
      <c r="S299" t="n">
        <v>1</v>
      </c>
      <c r="T299" t="n">
        <v>1</v>
      </c>
      <c r="U299" t="inlineStr">
        <is>
          <t>2001-09-19</t>
        </is>
      </c>
      <c r="V299" t="inlineStr">
        <is>
          <t>2001-09-19</t>
        </is>
      </c>
      <c r="W299" t="inlineStr">
        <is>
          <t>1993-03-08</t>
        </is>
      </c>
      <c r="X299" t="inlineStr">
        <is>
          <t>1993-03-08</t>
        </is>
      </c>
      <c r="Y299" t="n">
        <v>20</v>
      </c>
      <c r="Z299" t="n">
        <v>19</v>
      </c>
      <c r="AA299" t="n">
        <v>34</v>
      </c>
      <c r="AB299" t="n">
        <v>1</v>
      </c>
      <c r="AC299" t="n">
        <v>2</v>
      </c>
      <c r="AD299" t="n">
        <v>0</v>
      </c>
      <c r="AE299" t="n">
        <v>2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M299" t="n">
        <v>1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HYPERLINK("https://creighton-primo.hosted.exlibrisgroup.com/primo-explore/search?tab=default_tab&amp;search_scope=EVERYTHING&amp;vid=01CRU&amp;lang=en_US&amp;offset=0&amp;query=any,contains,991004315089702656","Catalog Record")</f>
        <v/>
      </c>
      <c r="AT299">
        <f>HYPERLINK("http://www.worldcat.org/oclc/3003482","WorldCat Record")</f>
        <v/>
      </c>
    </row>
    <row r="300">
      <c r="A300" t="inlineStr">
        <is>
          <t>No</t>
        </is>
      </c>
      <c r="B300" t="inlineStr">
        <is>
          <t>R727.3 .P48</t>
        </is>
      </c>
      <c r="C300" t="inlineStr">
        <is>
          <t>0                      R  0727300P  48</t>
        </is>
      </c>
      <c r="D300" t="inlineStr">
        <is>
          <t>Physician-patient communication : readings and recommendations / edited by George Henderson.</t>
        </is>
      </c>
      <c r="F300" t="inlineStr">
        <is>
          <t>No</t>
        </is>
      </c>
      <c r="G300" t="inlineStr">
        <is>
          <t>1</t>
        </is>
      </c>
      <c r="H300" t="inlineStr">
        <is>
          <t>Yes</t>
        </is>
      </c>
      <c r="I300" t="inlineStr">
        <is>
          <t>No</t>
        </is>
      </c>
      <c r="J300" t="inlineStr">
        <is>
          <t>0</t>
        </is>
      </c>
      <c r="L300" t="inlineStr">
        <is>
          <t>Springfield, Ill. : Thomas, c1981.</t>
        </is>
      </c>
      <c r="M300" t="inlineStr">
        <is>
          <t>1981</t>
        </is>
      </c>
      <c r="O300" t="inlineStr">
        <is>
          <t>eng</t>
        </is>
      </c>
      <c r="P300" t="inlineStr">
        <is>
          <t>ilu</t>
        </is>
      </c>
      <c r="R300" t="inlineStr">
        <is>
          <t xml:space="preserve">R  </t>
        </is>
      </c>
      <c r="S300" t="n">
        <v>12</v>
      </c>
      <c r="T300" t="n">
        <v>12</v>
      </c>
      <c r="U300" t="inlineStr">
        <is>
          <t>2009-10-12</t>
        </is>
      </c>
      <c r="V300" t="inlineStr">
        <is>
          <t>2009-10-12</t>
        </is>
      </c>
      <c r="W300" t="inlineStr">
        <is>
          <t>1991-11-13</t>
        </is>
      </c>
      <c r="X300" t="inlineStr">
        <is>
          <t>1991-11-13</t>
        </is>
      </c>
      <c r="Y300" t="n">
        <v>195</v>
      </c>
      <c r="Z300" t="n">
        <v>175</v>
      </c>
      <c r="AA300" t="n">
        <v>177</v>
      </c>
      <c r="AB300" t="n">
        <v>3</v>
      </c>
      <c r="AC300" t="n">
        <v>3</v>
      </c>
      <c r="AD300" t="n">
        <v>3</v>
      </c>
      <c r="AE300" t="n">
        <v>3</v>
      </c>
      <c r="AF300" t="n">
        <v>0</v>
      </c>
      <c r="AG300" t="n">
        <v>0</v>
      </c>
      <c r="AH300" t="n">
        <v>1</v>
      </c>
      <c r="AI300" t="n">
        <v>1</v>
      </c>
      <c r="AJ300" t="n">
        <v>1</v>
      </c>
      <c r="AK300" t="n">
        <v>1</v>
      </c>
      <c r="AL300" t="n">
        <v>1</v>
      </c>
      <c r="AM300" t="n">
        <v>1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HYPERLINK("http://catalog.hathitrust.org/Record/004416345","HathiTrust Record")</f>
        <v/>
      </c>
      <c r="AS300">
        <f>HYPERLINK("https://creighton-primo.hosted.exlibrisgroup.com/primo-explore/search?tab=default_tab&amp;search_scope=EVERYTHING&amp;vid=01CRU&amp;lang=en_US&amp;offset=0&amp;query=any,contains,991005070179702656","Catalog Record")</f>
        <v/>
      </c>
      <c r="AT300">
        <f>HYPERLINK("http://www.worldcat.org/oclc/7007053","WorldCat Record")</f>
        <v/>
      </c>
    </row>
    <row r="301">
      <c r="A301" t="inlineStr">
        <is>
          <t>No</t>
        </is>
      </c>
      <c r="B301" t="inlineStr">
        <is>
          <t>R727.3 .P73</t>
        </is>
      </c>
      <c r="C301" t="inlineStr">
        <is>
          <t>0                      R  0727300P  73</t>
        </is>
      </c>
      <c r="D301" t="inlineStr">
        <is>
          <t>The clay pedestal : a re-examination of the doctor-patient relationship / Thomas Preston.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Preston, Thomas A., 1933-</t>
        </is>
      </c>
      <c r="L301" t="inlineStr">
        <is>
          <t>Seattle : Madrona Publishers, 1981.</t>
        </is>
      </c>
      <c r="M301" t="inlineStr">
        <is>
          <t>1981</t>
        </is>
      </c>
      <c r="O301" t="inlineStr">
        <is>
          <t>eng</t>
        </is>
      </c>
      <c r="P301" t="inlineStr">
        <is>
          <t>wau</t>
        </is>
      </c>
      <c r="R301" t="inlineStr">
        <is>
          <t xml:space="preserve">R  </t>
        </is>
      </c>
      <c r="S301" t="n">
        <v>6</v>
      </c>
      <c r="T301" t="n">
        <v>6</v>
      </c>
      <c r="U301" t="inlineStr">
        <is>
          <t>2001-04-17</t>
        </is>
      </c>
      <c r="V301" t="inlineStr">
        <is>
          <t>2001-04-17</t>
        </is>
      </c>
      <c r="W301" t="inlineStr">
        <is>
          <t>1993-03-08</t>
        </is>
      </c>
      <c r="X301" t="inlineStr">
        <is>
          <t>1993-03-08</t>
        </is>
      </c>
      <c r="Y301" t="n">
        <v>347</v>
      </c>
      <c r="Z301" t="n">
        <v>321</v>
      </c>
      <c r="AA301" t="n">
        <v>401</v>
      </c>
      <c r="AB301" t="n">
        <v>2</v>
      </c>
      <c r="AC301" t="n">
        <v>2</v>
      </c>
      <c r="AD301" t="n">
        <v>8</v>
      </c>
      <c r="AE301" t="n">
        <v>12</v>
      </c>
      <c r="AF301" t="n">
        <v>3</v>
      </c>
      <c r="AG301" t="n">
        <v>5</v>
      </c>
      <c r="AH301" t="n">
        <v>3</v>
      </c>
      <c r="AI301" t="n">
        <v>4</v>
      </c>
      <c r="AJ301" t="n">
        <v>4</v>
      </c>
      <c r="AK301" t="n">
        <v>7</v>
      </c>
      <c r="AL301" t="n">
        <v>1</v>
      </c>
      <c r="AM301" t="n">
        <v>1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HYPERLINK("http://catalog.hathitrust.org/Record/000261534","HathiTrust Record")</f>
        <v/>
      </c>
      <c r="AS301">
        <f>HYPERLINK("https://creighton-primo.hosted.exlibrisgroup.com/primo-explore/search?tab=default_tab&amp;search_scope=EVERYTHING&amp;vid=01CRU&amp;lang=en_US&amp;offset=0&amp;query=any,contains,991005138889702656","Catalog Record")</f>
        <v/>
      </c>
      <c r="AT301">
        <f>HYPERLINK("http://www.worldcat.org/oclc/7596632","WorldCat Record")</f>
        <v/>
      </c>
    </row>
    <row r="302">
      <c r="A302" t="inlineStr">
        <is>
          <t>No</t>
        </is>
      </c>
      <c r="B302" t="inlineStr">
        <is>
          <t>R727.3 .S55 1987</t>
        </is>
      </c>
      <c r="C302" t="inlineStr">
        <is>
          <t>0                      R  0727300S  55          1987</t>
        </is>
      </c>
      <c r="D302" t="inlineStr">
        <is>
          <t>Communication and medical practice : social relations in the clinic / David Silverman.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Silverman, David, 1943-</t>
        </is>
      </c>
      <c r="L302" t="inlineStr">
        <is>
          <t>London : Sage, 1987.</t>
        </is>
      </c>
      <c r="M302" t="inlineStr">
        <is>
          <t>1987</t>
        </is>
      </c>
      <c r="O302" t="inlineStr">
        <is>
          <t>eng</t>
        </is>
      </c>
      <c r="P302" t="inlineStr">
        <is>
          <t>enk</t>
        </is>
      </c>
      <c r="R302" t="inlineStr">
        <is>
          <t xml:space="preserve">R  </t>
        </is>
      </c>
      <c r="S302" t="n">
        <v>4</v>
      </c>
      <c r="T302" t="n">
        <v>4</v>
      </c>
      <c r="U302" t="inlineStr">
        <is>
          <t>2003-03-26</t>
        </is>
      </c>
      <c r="V302" t="inlineStr">
        <is>
          <t>2003-03-26</t>
        </is>
      </c>
      <c r="W302" t="inlineStr">
        <is>
          <t>1991-12-06</t>
        </is>
      </c>
      <c r="X302" t="inlineStr">
        <is>
          <t>1991-12-06</t>
        </is>
      </c>
      <c r="Y302" t="n">
        <v>274</v>
      </c>
      <c r="Z302" t="n">
        <v>153</v>
      </c>
      <c r="AA302" t="n">
        <v>160</v>
      </c>
      <c r="AB302" t="n">
        <v>1</v>
      </c>
      <c r="AC302" t="n">
        <v>1</v>
      </c>
      <c r="AD302" t="n">
        <v>11</v>
      </c>
      <c r="AE302" t="n">
        <v>11</v>
      </c>
      <c r="AF302" t="n">
        <v>4</v>
      </c>
      <c r="AG302" t="n">
        <v>4</v>
      </c>
      <c r="AH302" t="n">
        <v>3</v>
      </c>
      <c r="AI302" t="n">
        <v>3</v>
      </c>
      <c r="AJ302" t="n">
        <v>6</v>
      </c>
      <c r="AK302" t="n">
        <v>6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HYPERLINK("http://catalog.hathitrust.org/Record/000950051","HathiTrust Record")</f>
        <v/>
      </c>
      <c r="AS302">
        <f>HYPERLINK("https://creighton-primo.hosted.exlibrisgroup.com/primo-explore/search?tab=default_tab&amp;search_scope=EVERYTHING&amp;vid=01CRU&amp;lang=en_US&amp;offset=0&amp;query=any,contains,991001143739702656","Catalog Record")</f>
        <v/>
      </c>
      <c r="AT302">
        <f>HYPERLINK("http://www.worldcat.org/oclc/21040432","WorldCat Record")</f>
        <v/>
      </c>
    </row>
    <row r="303">
      <c r="A303" t="inlineStr">
        <is>
          <t>No</t>
        </is>
      </c>
      <c r="B303" t="inlineStr">
        <is>
          <t>R727.3 .S6 1983</t>
        </is>
      </c>
      <c r="C303" t="inlineStr">
        <is>
          <t>0                      R  0727300S  6           1983</t>
        </is>
      </c>
      <c r="D303" t="inlineStr">
        <is>
          <t>The Social organization of doctor-patient communication / edited by Sue Fisher &amp; Alexandra Dundas Todd.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Washington, D.C. : Center for Applied Linguistics, 1983.</t>
        </is>
      </c>
      <c r="M303" t="inlineStr">
        <is>
          <t>1983</t>
        </is>
      </c>
      <c r="O303" t="inlineStr">
        <is>
          <t>eng</t>
        </is>
      </c>
      <c r="P303" t="inlineStr">
        <is>
          <t>dcu</t>
        </is>
      </c>
      <c r="R303" t="inlineStr">
        <is>
          <t xml:space="preserve">R  </t>
        </is>
      </c>
      <c r="S303" t="n">
        <v>6</v>
      </c>
      <c r="T303" t="n">
        <v>6</v>
      </c>
      <c r="U303" t="inlineStr">
        <is>
          <t>1999-10-02</t>
        </is>
      </c>
      <c r="V303" t="inlineStr">
        <is>
          <t>1999-10-02</t>
        </is>
      </c>
      <c r="W303" t="inlineStr">
        <is>
          <t>1992-01-10</t>
        </is>
      </c>
      <c r="X303" t="inlineStr">
        <is>
          <t>1992-01-10</t>
        </is>
      </c>
      <c r="Y303" t="n">
        <v>179</v>
      </c>
      <c r="Z303" t="n">
        <v>137</v>
      </c>
      <c r="AA303" t="n">
        <v>204</v>
      </c>
      <c r="AB303" t="n">
        <v>1</v>
      </c>
      <c r="AC303" t="n">
        <v>1</v>
      </c>
      <c r="AD303" t="n">
        <v>9</v>
      </c>
      <c r="AE303" t="n">
        <v>10</v>
      </c>
      <c r="AF303" t="n">
        <v>2</v>
      </c>
      <c r="AG303" t="n">
        <v>2</v>
      </c>
      <c r="AH303" t="n">
        <v>5</v>
      </c>
      <c r="AI303" t="n">
        <v>5</v>
      </c>
      <c r="AJ303" t="n">
        <v>5</v>
      </c>
      <c r="AK303" t="n">
        <v>6</v>
      </c>
      <c r="AL303" t="n">
        <v>0</v>
      </c>
      <c r="AM303" t="n">
        <v>0</v>
      </c>
      <c r="AN303" t="n">
        <v>1</v>
      </c>
      <c r="AO303" t="n">
        <v>1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HYPERLINK("https://creighton-primo.hosted.exlibrisgroup.com/primo-explore/search?tab=default_tab&amp;search_scope=EVERYTHING&amp;vid=01CRU&amp;lang=en_US&amp;offset=0&amp;query=any,contains,991000170199702656","Catalog Record")</f>
        <v/>
      </c>
      <c r="AT303">
        <f>HYPERLINK("http://www.worldcat.org/oclc/9323433","WorldCat Record")</f>
        <v/>
      </c>
    </row>
    <row r="304">
      <c r="A304" t="inlineStr">
        <is>
          <t>No</t>
        </is>
      </c>
      <c r="B304" t="inlineStr">
        <is>
          <t>R727.4 .L48 1993</t>
        </is>
      </c>
      <c r="C304" t="inlineStr">
        <is>
          <t>0                      R  0727400L  48          1993</t>
        </is>
      </c>
      <c r="D304" t="inlineStr">
        <is>
          <t>Health counseling / Judith A. Lewis, Len Sperry, Jon Carlson.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Lewis, Judith A., 1939-</t>
        </is>
      </c>
      <c r="L304" t="inlineStr">
        <is>
          <t>Pacific Grove, Calif. : Brooks/Cole Pub. Co., c1993.</t>
        </is>
      </c>
      <c r="M304" t="inlineStr">
        <is>
          <t>1993</t>
        </is>
      </c>
      <c r="O304" t="inlineStr">
        <is>
          <t>eng</t>
        </is>
      </c>
      <c r="P304" t="inlineStr">
        <is>
          <t>cau</t>
        </is>
      </c>
      <c r="R304" t="inlineStr">
        <is>
          <t xml:space="preserve">R  </t>
        </is>
      </c>
      <c r="S304" t="n">
        <v>10</v>
      </c>
      <c r="T304" t="n">
        <v>10</v>
      </c>
      <c r="U304" t="inlineStr">
        <is>
          <t>1996-02-24</t>
        </is>
      </c>
      <c r="V304" t="inlineStr">
        <is>
          <t>1996-02-24</t>
        </is>
      </c>
      <c r="W304" t="inlineStr">
        <is>
          <t>1993-07-06</t>
        </is>
      </c>
      <c r="X304" t="inlineStr">
        <is>
          <t>1993-07-06</t>
        </is>
      </c>
      <c r="Y304" t="n">
        <v>169</v>
      </c>
      <c r="Z304" t="n">
        <v>120</v>
      </c>
      <c r="AA304" t="n">
        <v>125</v>
      </c>
      <c r="AB304" t="n">
        <v>1</v>
      </c>
      <c r="AC304" t="n">
        <v>1</v>
      </c>
      <c r="AD304" t="n">
        <v>2</v>
      </c>
      <c r="AE304" t="n">
        <v>2</v>
      </c>
      <c r="AF304" t="n">
        <v>0</v>
      </c>
      <c r="AG304" t="n">
        <v>0</v>
      </c>
      <c r="AH304" t="n">
        <v>0</v>
      </c>
      <c r="AI304" t="n">
        <v>0</v>
      </c>
      <c r="AJ304" t="n">
        <v>2</v>
      </c>
      <c r="AK304" t="n">
        <v>2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HYPERLINK("https://creighton-primo.hosted.exlibrisgroup.com/primo-explore/search?tab=default_tab&amp;search_scope=EVERYTHING&amp;vid=01CRU&amp;lang=en_US&amp;offset=0&amp;query=any,contains,991002094739702656","Catalog Record")</f>
        <v/>
      </c>
      <c r="AT304">
        <f>HYPERLINK("http://www.worldcat.org/oclc/26856247","WorldCat Record")</f>
        <v/>
      </c>
    </row>
    <row r="305">
      <c r="A305" t="inlineStr">
        <is>
          <t>No</t>
        </is>
      </c>
      <c r="B305" t="inlineStr">
        <is>
          <t>R727.8 .A44</t>
        </is>
      </c>
      <c r="C305" t="inlineStr">
        <is>
          <t>0                      R  0727800A  44</t>
        </is>
      </c>
      <c r="D305" t="inlineStr">
        <is>
          <t>Attitudes toward the aged and client age group preference as expressed by future and current health care and counseling professionals / by Virginia B. Allen.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Allen, Virginia B.</t>
        </is>
      </c>
      <c r="M305" t="inlineStr">
        <is>
          <t>1981</t>
        </is>
      </c>
      <c r="O305" t="inlineStr">
        <is>
          <t>eng</t>
        </is>
      </c>
      <c r="P305" t="inlineStr">
        <is>
          <t>sdu</t>
        </is>
      </c>
      <c r="R305" t="inlineStr">
        <is>
          <t xml:space="preserve">R  </t>
        </is>
      </c>
      <c r="S305" t="n">
        <v>3</v>
      </c>
      <c r="T305" t="n">
        <v>3</v>
      </c>
      <c r="U305" t="inlineStr">
        <is>
          <t>2004-06-16</t>
        </is>
      </c>
      <c r="V305" t="inlineStr">
        <is>
          <t>2004-06-16</t>
        </is>
      </c>
      <c r="W305" t="inlineStr">
        <is>
          <t>1992-03-10</t>
        </is>
      </c>
      <c r="X305" t="inlineStr">
        <is>
          <t>1992-03-10</t>
        </is>
      </c>
      <c r="Y305" t="n">
        <v>2</v>
      </c>
      <c r="Z305" t="n">
        <v>2</v>
      </c>
      <c r="AA305" t="n">
        <v>2</v>
      </c>
      <c r="AB305" t="n">
        <v>1</v>
      </c>
      <c r="AC305" t="n">
        <v>1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HYPERLINK("https://creighton-primo.hosted.exlibrisgroup.com/primo-explore/search?tab=default_tab&amp;search_scope=EVERYTHING&amp;vid=01CRU&amp;lang=en_US&amp;offset=0&amp;query=any,contains,991005231149702656","Catalog Record")</f>
        <v/>
      </c>
      <c r="AT305">
        <f>HYPERLINK("http://www.worldcat.org/oclc/8329694","WorldCat Record")</f>
        <v/>
      </c>
    </row>
    <row r="306">
      <c r="A306" t="inlineStr">
        <is>
          <t>No</t>
        </is>
      </c>
      <c r="B306" t="inlineStr">
        <is>
          <t>R728 .E94 2004</t>
        </is>
      </c>
      <c r="C306" t="inlineStr">
        <is>
          <t>0                      R  0728000E  94          2004</t>
        </is>
      </c>
      <c r="D306" t="inlineStr">
        <is>
          <t>Evidence-based practice manual: research and outcome measures in health and human services / edited by Albert R. Roberts, Kenneth Yeager.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Oxford ; New York : Oxford University Press, c2004.</t>
        </is>
      </c>
      <c r="M306" t="inlineStr">
        <is>
          <t>2004</t>
        </is>
      </c>
      <c r="O306" t="inlineStr">
        <is>
          <t>eng</t>
        </is>
      </c>
      <c r="P306" t="inlineStr">
        <is>
          <t>enk</t>
        </is>
      </c>
      <c r="R306" t="inlineStr">
        <is>
          <t xml:space="preserve">R  </t>
        </is>
      </c>
      <c r="S306" t="n">
        <v>1</v>
      </c>
      <c r="T306" t="n">
        <v>1</v>
      </c>
      <c r="U306" t="inlineStr">
        <is>
          <t>2010-02-23</t>
        </is>
      </c>
      <c r="V306" t="inlineStr">
        <is>
          <t>2010-02-23</t>
        </is>
      </c>
      <c r="W306" t="inlineStr">
        <is>
          <t>2010-02-23</t>
        </is>
      </c>
      <c r="X306" t="inlineStr">
        <is>
          <t>2010-02-23</t>
        </is>
      </c>
      <c r="Y306" t="n">
        <v>383</v>
      </c>
      <c r="Z306" t="n">
        <v>284</v>
      </c>
      <c r="AA306" t="n">
        <v>626</v>
      </c>
      <c r="AB306" t="n">
        <v>5</v>
      </c>
      <c r="AC306" t="n">
        <v>8</v>
      </c>
      <c r="AD306" t="n">
        <v>17</v>
      </c>
      <c r="AE306" t="n">
        <v>31</v>
      </c>
      <c r="AF306" t="n">
        <v>4</v>
      </c>
      <c r="AG306" t="n">
        <v>9</v>
      </c>
      <c r="AH306" t="n">
        <v>2</v>
      </c>
      <c r="AI306" t="n">
        <v>6</v>
      </c>
      <c r="AJ306" t="n">
        <v>8</v>
      </c>
      <c r="AK306" t="n">
        <v>11</v>
      </c>
      <c r="AL306" t="n">
        <v>4</v>
      </c>
      <c r="AM306" t="n">
        <v>7</v>
      </c>
      <c r="AN306" t="n">
        <v>0</v>
      </c>
      <c r="AO306" t="n">
        <v>1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HYPERLINK("http://catalog.hathitrust.org/Record/004360276","HathiTrust Record")</f>
        <v/>
      </c>
      <c r="AS306">
        <f>HYPERLINK("https://creighton-primo.hosted.exlibrisgroup.com/primo-explore/search?tab=default_tab&amp;search_scope=EVERYTHING&amp;vid=01CRU&amp;lang=en_US&amp;offset=0&amp;query=any,contains,991005363369702656","Catalog Record")</f>
        <v/>
      </c>
      <c r="AT306">
        <f>HYPERLINK("http://www.worldcat.org/oclc/53289697","WorldCat Record")</f>
        <v/>
      </c>
    </row>
    <row r="307">
      <c r="A307" t="inlineStr">
        <is>
          <t>No</t>
        </is>
      </c>
      <c r="B307" t="inlineStr">
        <is>
          <t>R728 .L28</t>
        </is>
      </c>
      <c r="C307" t="inlineStr">
        <is>
          <t>0                      R  0728000L  28</t>
        </is>
      </c>
      <c r="D307" t="inlineStr">
        <is>
          <t>Medicine and money : physicians as businessmen / Joseph LaDou, James D. Likens.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LaDou, Joseph, 1938-</t>
        </is>
      </c>
      <c r="L307" t="inlineStr">
        <is>
          <t>Cambridge, Mass. : Ballinger Pub. Co., c1977.</t>
        </is>
      </c>
      <c r="M307" t="inlineStr">
        <is>
          <t>1977</t>
        </is>
      </c>
      <c r="O307" t="inlineStr">
        <is>
          <t>eng</t>
        </is>
      </c>
      <c r="P307" t="inlineStr">
        <is>
          <t>mau</t>
        </is>
      </c>
      <c r="R307" t="inlineStr">
        <is>
          <t xml:space="preserve">R  </t>
        </is>
      </c>
      <c r="S307" t="n">
        <v>6</v>
      </c>
      <c r="T307" t="n">
        <v>6</v>
      </c>
      <c r="U307" t="inlineStr">
        <is>
          <t>2000-03-23</t>
        </is>
      </c>
      <c r="V307" t="inlineStr">
        <is>
          <t>2000-03-23</t>
        </is>
      </c>
      <c r="W307" t="inlineStr">
        <is>
          <t>1997-08-07</t>
        </is>
      </c>
      <c r="X307" t="inlineStr">
        <is>
          <t>1997-08-07</t>
        </is>
      </c>
      <c r="Y307" t="n">
        <v>254</v>
      </c>
      <c r="Z307" t="n">
        <v>220</v>
      </c>
      <c r="AA307" t="n">
        <v>222</v>
      </c>
      <c r="AB307" t="n">
        <v>3</v>
      </c>
      <c r="AC307" t="n">
        <v>3</v>
      </c>
      <c r="AD307" t="n">
        <v>6</v>
      </c>
      <c r="AE307" t="n">
        <v>6</v>
      </c>
      <c r="AF307" t="n">
        <v>1</v>
      </c>
      <c r="AG307" t="n">
        <v>1</v>
      </c>
      <c r="AH307" t="n">
        <v>1</v>
      </c>
      <c r="AI307" t="n">
        <v>1</v>
      </c>
      <c r="AJ307" t="n">
        <v>3</v>
      </c>
      <c r="AK307" t="n">
        <v>3</v>
      </c>
      <c r="AL307" t="n">
        <v>2</v>
      </c>
      <c r="AM307" t="n">
        <v>2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HYPERLINK("http://catalog.hathitrust.org/Record/000210684","HathiTrust Record")</f>
        <v/>
      </c>
      <c r="AS307">
        <f>HYPERLINK("https://creighton-primo.hosted.exlibrisgroup.com/primo-explore/search?tab=default_tab&amp;search_scope=EVERYTHING&amp;vid=01CRU&amp;lang=en_US&amp;offset=0&amp;query=any,contains,991004254719702656","Catalog Record")</f>
        <v/>
      </c>
      <c r="AT307">
        <f>HYPERLINK("http://www.worldcat.org/oclc/2818915","WorldCat Record")</f>
        <v/>
      </c>
    </row>
    <row r="308">
      <c r="A308" t="inlineStr">
        <is>
          <t>No</t>
        </is>
      </c>
      <c r="B308" t="inlineStr">
        <is>
          <t>R728 .P68 1999</t>
        </is>
      </c>
      <c r="C308" t="inlineStr">
        <is>
          <t>0                      R  0728000P  68          1999</t>
        </is>
      </c>
      <c r="D308" t="inlineStr">
        <is>
          <t>The new health partners : renewing the leadership of physician practice / Stephen E. Prather, with Thomas D. Barela, Carolyn A. Lee, Linde F. Howell ; foreword by James S. Roberts.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Prather, Stephen E.</t>
        </is>
      </c>
      <c r="L308" t="inlineStr">
        <is>
          <t>San Francisco : Jossey-Bass Publishers, c1999.</t>
        </is>
      </c>
      <c r="M308" t="inlineStr">
        <is>
          <t>1999</t>
        </is>
      </c>
      <c r="N308" t="inlineStr">
        <is>
          <t>1st ed.</t>
        </is>
      </c>
      <c r="O308" t="inlineStr">
        <is>
          <t>eng</t>
        </is>
      </c>
      <c r="P308" t="inlineStr">
        <is>
          <t>cau</t>
        </is>
      </c>
      <c r="R308" t="inlineStr">
        <is>
          <t xml:space="preserve">R  </t>
        </is>
      </c>
      <c r="S308" t="n">
        <v>2</v>
      </c>
      <c r="T308" t="n">
        <v>2</v>
      </c>
      <c r="U308" t="inlineStr">
        <is>
          <t>2002-04-24</t>
        </is>
      </c>
      <c r="V308" t="inlineStr">
        <is>
          <t>2002-04-24</t>
        </is>
      </c>
      <c r="W308" t="inlineStr">
        <is>
          <t>2002-04-11</t>
        </is>
      </c>
      <c r="X308" t="inlineStr">
        <is>
          <t>2002-04-11</t>
        </is>
      </c>
      <c r="Y308" t="n">
        <v>78</v>
      </c>
      <c r="Z308" t="n">
        <v>73</v>
      </c>
      <c r="AA308" t="n">
        <v>74</v>
      </c>
      <c r="AB308" t="n">
        <v>1</v>
      </c>
      <c r="AC308" t="n">
        <v>1</v>
      </c>
      <c r="AD308" t="n">
        <v>1</v>
      </c>
      <c r="AE308" t="n">
        <v>1</v>
      </c>
      <c r="AF308" t="n">
        <v>0</v>
      </c>
      <c r="AG308" t="n">
        <v>0</v>
      </c>
      <c r="AH308" t="n">
        <v>1</v>
      </c>
      <c r="AI308" t="n">
        <v>1</v>
      </c>
      <c r="AJ308" t="n">
        <v>1</v>
      </c>
      <c r="AK308" t="n">
        <v>1</v>
      </c>
      <c r="AL308" t="n">
        <v>0</v>
      </c>
      <c r="AM308" t="n">
        <v>0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HYPERLINK("http://catalog.hathitrust.org/Record/007991601","HathiTrust Record")</f>
        <v/>
      </c>
      <c r="AS308">
        <f>HYPERLINK("https://creighton-primo.hosted.exlibrisgroup.com/primo-explore/search?tab=default_tab&amp;search_scope=EVERYTHING&amp;vid=01CRU&amp;lang=en_US&amp;offset=0&amp;query=any,contains,991003726189702656","Catalog Record")</f>
        <v/>
      </c>
      <c r="AT308">
        <f>HYPERLINK("http://www.worldcat.org/oclc/40943471","WorldCat Record")</f>
        <v/>
      </c>
    </row>
    <row r="309">
      <c r="A309" t="inlineStr">
        <is>
          <t>No</t>
        </is>
      </c>
      <c r="B309" t="inlineStr">
        <is>
          <t>R728 .S35 2008</t>
        </is>
      </c>
      <c r="C309" t="inlineStr">
        <is>
          <t>0                      R  0728000S  35          2008</t>
        </is>
      </c>
      <c r="D309" t="inlineStr">
        <is>
          <t>Keys to private practice success : marketing and management skills they didn't teach you in college / Harvey Schmiedeke.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Schmiedeke, Harvey.</t>
        </is>
      </c>
      <c r="L309" t="inlineStr">
        <is>
          <t>Burbank, CA : Survival Strategies International, c2008.</t>
        </is>
      </c>
      <c r="M309" t="inlineStr">
        <is>
          <t>2008</t>
        </is>
      </c>
      <c r="N309" t="inlineStr">
        <is>
          <t>1st edition.</t>
        </is>
      </c>
      <c r="O309" t="inlineStr">
        <is>
          <t>eng</t>
        </is>
      </c>
      <c r="P309" t="inlineStr">
        <is>
          <t>cau</t>
        </is>
      </c>
      <c r="R309" t="inlineStr">
        <is>
          <t xml:space="preserve">R  </t>
        </is>
      </c>
      <c r="S309" t="n">
        <v>1</v>
      </c>
      <c r="T309" t="n">
        <v>1</v>
      </c>
      <c r="U309" t="inlineStr">
        <is>
          <t>2009-11-12</t>
        </is>
      </c>
      <c r="V309" t="inlineStr">
        <is>
          <t>2009-11-12</t>
        </is>
      </c>
      <c r="W309" t="inlineStr">
        <is>
          <t>2009-11-12</t>
        </is>
      </c>
      <c r="X309" t="inlineStr">
        <is>
          <t>2009-11-12</t>
        </is>
      </c>
      <c r="Y309" t="n">
        <v>44</v>
      </c>
      <c r="Z309" t="n">
        <v>44</v>
      </c>
      <c r="AA309" t="n">
        <v>44</v>
      </c>
      <c r="AB309" t="n">
        <v>2</v>
      </c>
      <c r="AC309" t="n">
        <v>2</v>
      </c>
      <c r="AD309" t="n">
        <v>2</v>
      </c>
      <c r="AE309" t="n">
        <v>2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1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HYPERLINK("https://creighton-primo.hosted.exlibrisgroup.com/primo-explore/search?tab=default_tab&amp;search_scope=EVERYTHING&amp;vid=01CRU&amp;lang=en_US&amp;offset=0&amp;query=any,contains,991005341889702656","Catalog Record")</f>
        <v/>
      </c>
      <c r="AT309">
        <f>HYPERLINK("http://www.worldcat.org/oclc/423388708","WorldCat Record")</f>
        <v/>
      </c>
    </row>
    <row r="310">
      <c r="A310" t="inlineStr">
        <is>
          <t>No</t>
        </is>
      </c>
      <c r="B310" t="inlineStr">
        <is>
          <t>R728 .W64 1985</t>
        </is>
      </c>
      <c r="C310" t="inlineStr">
        <is>
          <t>0                      R  0728000W  64          1985</t>
        </is>
      </c>
      <c r="D310" t="inlineStr">
        <is>
          <t>The organization of medical practice and the practice of medicine / Fredric D. Wolinsky, William D. Marder.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Wolinsky, Fredric D.</t>
        </is>
      </c>
      <c r="L310" t="inlineStr">
        <is>
          <t>Ann Arbor, MI : Health Administration Press, 1985.</t>
        </is>
      </c>
      <c r="M310" t="inlineStr">
        <is>
          <t>1985</t>
        </is>
      </c>
      <c r="O310" t="inlineStr">
        <is>
          <t>eng</t>
        </is>
      </c>
      <c r="P310" t="inlineStr">
        <is>
          <t>miu</t>
        </is>
      </c>
      <c r="R310" t="inlineStr">
        <is>
          <t xml:space="preserve">R  </t>
        </is>
      </c>
      <c r="S310" t="n">
        <v>3</v>
      </c>
      <c r="T310" t="n">
        <v>3</v>
      </c>
      <c r="U310" t="inlineStr">
        <is>
          <t>1999-01-13</t>
        </is>
      </c>
      <c r="V310" t="inlineStr">
        <is>
          <t>1999-01-13</t>
        </is>
      </c>
      <c r="W310" t="inlineStr">
        <is>
          <t>1992-03-24</t>
        </is>
      </c>
      <c r="X310" t="inlineStr">
        <is>
          <t>1992-03-24</t>
        </is>
      </c>
      <c r="Y310" t="n">
        <v>197</v>
      </c>
      <c r="Z310" t="n">
        <v>185</v>
      </c>
      <c r="AA310" t="n">
        <v>190</v>
      </c>
      <c r="AB310" t="n">
        <v>2</v>
      </c>
      <c r="AC310" t="n">
        <v>2</v>
      </c>
      <c r="AD310" t="n">
        <v>11</v>
      </c>
      <c r="AE310" t="n">
        <v>11</v>
      </c>
      <c r="AF310" t="n">
        <v>3</v>
      </c>
      <c r="AG310" t="n">
        <v>3</v>
      </c>
      <c r="AH310" t="n">
        <v>2</v>
      </c>
      <c r="AI310" t="n">
        <v>2</v>
      </c>
      <c r="AJ310" t="n">
        <v>6</v>
      </c>
      <c r="AK310" t="n">
        <v>6</v>
      </c>
      <c r="AL310" t="n">
        <v>0</v>
      </c>
      <c r="AM310" t="n">
        <v>0</v>
      </c>
      <c r="AN310" t="n">
        <v>3</v>
      </c>
      <c r="AO310" t="n">
        <v>3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HYPERLINK("https://creighton-primo.hosted.exlibrisgroup.com/primo-explore/search?tab=default_tab&amp;search_scope=EVERYTHING&amp;vid=01CRU&amp;lang=en_US&amp;offset=0&amp;query=any,contains,991000622819702656","Catalog Record")</f>
        <v/>
      </c>
      <c r="AT310">
        <f>HYPERLINK("http://www.worldcat.org/oclc/11972918","WorldCat Record")</f>
        <v/>
      </c>
    </row>
    <row r="311">
      <c r="A311" t="inlineStr">
        <is>
          <t>No</t>
        </is>
      </c>
      <c r="B311" t="inlineStr">
        <is>
          <t>R728.5 .F74 1991</t>
        </is>
      </c>
      <c r="C311" t="inlineStr">
        <is>
          <t>0                      R  0728500F  74          1991</t>
        </is>
      </c>
      <c r="D311" t="inlineStr">
        <is>
          <t>Regulating doctors' fees : competition, benefits, and controls under medicare / edited by H.E. Frech, III.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Washington, D.C. : AEI Press, 1991.</t>
        </is>
      </c>
      <c r="M311" t="inlineStr">
        <is>
          <t>1991</t>
        </is>
      </c>
      <c r="O311" t="inlineStr">
        <is>
          <t>eng</t>
        </is>
      </c>
      <c r="P311" t="inlineStr">
        <is>
          <t>dcu</t>
        </is>
      </c>
      <c r="Q311" t="inlineStr">
        <is>
          <t>AEI studies ; 518</t>
        </is>
      </c>
      <c r="R311" t="inlineStr">
        <is>
          <t xml:space="preserve">R  </t>
        </is>
      </c>
      <c r="S311" t="n">
        <v>4</v>
      </c>
      <c r="T311" t="n">
        <v>4</v>
      </c>
      <c r="U311" t="inlineStr">
        <is>
          <t>1994-02-17</t>
        </is>
      </c>
      <c r="V311" t="inlineStr">
        <is>
          <t>1994-02-17</t>
        </is>
      </c>
      <c r="W311" t="inlineStr">
        <is>
          <t>1992-06-10</t>
        </is>
      </c>
      <c r="X311" t="inlineStr">
        <is>
          <t>1992-06-10</t>
        </is>
      </c>
      <c r="Y311" t="n">
        <v>318</v>
      </c>
      <c r="Z311" t="n">
        <v>289</v>
      </c>
      <c r="AA311" t="n">
        <v>311</v>
      </c>
      <c r="AB311" t="n">
        <v>4</v>
      </c>
      <c r="AC311" t="n">
        <v>4</v>
      </c>
      <c r="AD311" t="n">
        <v>13</v>
      </c>
      <c r="AE311" t="n">
        <v>14</v>
      </c>
      <c r="AF311" t="n">
        <v>2</v>
      </c>
      <c r="AG311" t="n">
        <v>2</v>
      </c>
      <c r="AH311" t="n">
        <v>2</v>
      </c>
      <c r="AI311" t="n">
        <v>2</v>
      </c>
      <c r="AJ311" t="n">
        <v>5</v>
      </c>
      <c r="AK311" t="n">
        <v>5</v>
      </c>
      <c r="AL311" t="n">
        <v>3</v>
      </c>
      <c r="AM311" t="n">
        <v>3</v>
      </c>
      <c r="AN311" t="n">
        <v>3</v>
      </c>
      <c r="AO311" t="n">
        <v>4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HYPERLINK("http://catalog.hathitrust.org/Record/002495065","HathiTrust Record")</f>
        <v/>
      </c>
      <c r="AS311">
        <f>HYPERLINK("https://creighton-primo.hosted.exlibrisgroup.com/primo-explore/search?tab=default_tab&amp;search_scope=EVERYTHING&amp;vid=01CRU&amp;lang=en_US&amp;offset=0&amp;query=any,contains,991001856879702656","Catalog Record")</f>
        <v/>
      </c>
      <c r="AT311">
        <f>HYPERLINK("http://www.worldcat.org/oclc/23287653","WorldCat Record")</f>
        <v/>
      </c>
    </row>
    <row r="312">
      <c r="A312" t="inlineStr">
        <is>
          <t>No</t>
        </is>
      </c>
      <c r="B312" t="inlineStr">
        <is>
          <t>R729.5.G6 F73 1975</t>
        </is>
      </c>
      <c r="C312" t="inlineStr">
        <is>
          <t>0                      R  0729500G  6                  F  73          1975</t>
        </is>
      </c>
      <c r="D312" t="inlineStr">
        <is>
          <t>Doctoring together : a study of professional social control / Eliot Freidson.</t>
        </is>
      </c>
      <c r="F312" t="inlineStr">
        <is>
          <t>No</t>
        </is>
      </c>
      <c r="G312" t="inlineStr">
        <is>
          <t>1</t>
        </is>
      </c>
      <c r="H312" t="inlineStr">
        <is>
          <t>Yes</t>
        </is>
      </c>
      <c r="I312" t="inlineStr">
        <is>
          <t>No</t>
        </is>
      </c>
      <c r="J312" t="inlineStr">
        <is>
          <t>0</t>
        </is>
      </c>
      <c r="K312" t="inlineStr">
        <is>
          <t>Freidson, Eliot, 1923-2005.</t>
        </is>
      </c>
      <c r="L312" t="inlineStr">
        <is>
          <t>New York : Elsevier, c1975.</t>
        </is>
      </c>
      <c r="M312" t="inlineStr">
        <is>
          <t>1975</t>
        </is>
      </c>
      <c r="O312" t="inlineStr">
        <is>
          <t>eng</t>
        </is>
      </c>
      <c r="P312" t="inlineStr">
        <is>
          <t>nyu</t>
        </is>
      </c>
      <c r="R312" t="inlineStr">
        <is>
          <t xml:space="preserve">R  </t>
        </is>
      </c>
      <c r="S312" t="n">
        <v>5</v>
      </c>
      <c r="T312" t="n">
        <v>10</v>
      </c>
      <c r="U312" t="inlineStr">
        <is>
          <t>2000-03-23</t>
        </is>
      </c>
      <c r="V312" t="inlineStr">
        <is>
          <t>2000-03-23</t>
        </is>
      </c>
      <c r="W312" t="inlineStr">
        <is>
          <t>1990-02-20</t>
        </is>
      </c>
      <c r="X312" t="inlineStr">
        <is>
          <t>1990-02-20</t>
        </is>
      </c>
      <c r="Y312" t="n">
        <v>384</v>
      </c>
      <c r="Z312" t="n">
        <v>293</v>
      </c>
      <c r="AA312" t="n">
        <v>368</v>
      </c>
      <c r="AB312" t="n">
        <v>4</v>
      </c>
      <c r="AC312" t="n">
        <v>6</v>
      </c>
      <c r="AD312" t="n">
        <v>15</v>
      </c>
      <c r="AE312" t="n">
        <v>19</v>
      </c>
      <c r="AF312" t="n">
        <v>5</v>
      </c>
      <c r="AG312" t="n">
        <v>6</v>
      </c>
      <c r="AH312" t="n">
        <v>3</v>
      </c>
      <c r="AI312" t="n">
        <v>3</v>
      </c>
      <c r="AJ312" t="n">
        <v>10</v>
      </c>
      <c r="AK312" t="n">
        <v>12</v>
      </c>
      <c r="AL312" t="n">
        <v>2</v>
      </c>
      <c r="AM312" t="n">
        <v>4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HYPERLINK("http://catalog.hathitrust.org/Record/009917756","HathiTrust Record")</f>
        <v/>
      </c>
      <c r="AS312">
        <f>HYPERLINK("https://creighton-primo.hosted.exlibrisgroup.com/primo-explore/search?tab=default_tab&amp;search_scope=EVERYTHING&amp;vid=01CRU&amp;lang=en_US&amp;offset=0&amp;query=any,contains,991001753559702656","Catalog Record")</f>
        <v/>
      </c>
      <c r="AT312">
        <f>HYPERLINK("http://www.worldcat.org/oclc/1858263","WorldCat Record")</f>
        <v/>
      </c>
    </row>
    <row r="313">
      <c r="A313" t="inlineStr">
        <is>
          <t>No</t>
        </is>
      </c>
      <c r="B313" t="inlineStr">
        <is>
          <t>R729.8 .H86 1994</t>
        </is>
      </c>
      <c r="C313" t="inlineStr">
        <is>
          <t>0                      R  0729800H  86          1994</t>
        </is>
      </c>
      <c r="D313" t="inlineStr">
        <is>
          <t>Human error in medicine / edited by Marilyn Sue Bogner.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Hillsdale, N.J. : L. Erlbaum Associates, 1994.</t>
        </is>
      </c>
      <c r="M313" t="inlineStr">
        <is>
          <t>1994</t>
        </is>
      </c>
      <c r="O313" t="inlineStr">
        <is>
          <t>eng</t>
        </is>
      </c>
      <c r="P313" t="inlineStr">
        <is>
          <t>nju</t>
        </is>
      </c>
      <c r="R313" t="inlineStr">
        <is>
          <t xml:space="preserve">R  </t>
        </is>
      </c>
      <c r="S313" t="n">
        <v>2</v>
      </c>
      <c r="T313" t="n">
        <v>2</v>
      </c>
      <c r="U313" t="inlineStr">
        <is>
          <t>2001-04-17</t>
        </is>
      </c>
      <c r="V313" t="inlineStr">
        <is>
          <t>2001-04-17</t>
        </is>
      </c>
      <c r="W313" t="inlineStr">
        <is>
          <t>1996-02-01</t>
        </is>
      </c>
      <c r="X313" t="inlineStr">
        <is>
          <t>1996-02-01</t>
        </is>
      </c>
      <c r="Y313" t="n">
        <v>278</v>
      </c>
      <c r="Z313" t="n">
        <v>207</v>
      </c>
      <c r="AA313" t="n">
        <v>240</v>
      </c>
      <c r="AB313" t="n">
        <v>1</v>
      </c>
      <c r="AC313" t="n">
        <v>1</v>
      </c>
      <c r="AD313" t="n">
        <v>13</v>
      </c>
      <c r="AE313" t="n">
        <v>13</v>
      </c>
      <c r="AF313" t="n">
        <v>3</v>
      </c>
      <c r="AG313" t="n">
        <v>3</v>
      </c>
      <c r="AH313" t="n">
        <v>5</v>
      </c>
      <c r="AI313" t="n">
        <v>5</v>
      </c>
      <c r="AJ313" t="n">
        <v>7</v>
      </c>
      <c r="AK313" t="n">
        <v>7</v>
      </c>
      <c r="AL313" t="n">
        <v>0</v>
      </c>
      <c r="AM313" t="n">
        <v>0</v>
      </c>
      <c r="AN313" t="n">
        <v>1</v>
      </c>
      <c r="AO313" t="n">
        <v>1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HYPERLINK("http://catalog.hathitrust.org/Record/002977055","HathiTrust Record")</f>
        <v/>
      </c>
      <c r="AS313">
        <f>HYPERLINK("https://creighton-primo.hosted.exlibrisgroup.com/primo-explore/search?tab=default_tab&amp;search_scope=EVERYTHING&amp;vid=01CRU&amp;lang=en_US&amp;offset=0&amp;query=any,contains,991002292589702656","Catalog Record")</f>
        <v/>
      </c>
      <c r="AT313">
        <f>HYPERLINK("http://www.worldcat.org/oclc/29704237","WorldCat Record")</f>
        <v/>
      </c>
    </row>
    <row r="314">
      <c r="A314" t="inlineStr">
        <is>
          <t>No</t>
        </is>
      </c>
      <c r="B314" t="inlineStr">
        <is>
          <t>R730 .A54 2000</t>
        </is>
      </c>
      <c r="C314" t="inlineStr">
        <is>
          <t>0                      R  0730000A  54          2000</t>
        </is>
      </c>
      <c r="D314" t="inlineStr">
        <is>
          <t>Snake oil, hustlers and hambones : the American medicine show / Ann Anderson ; foreword by Heinrich R. Falk.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Anderson, Ann, 1951-</t>
        </is>
      </c>
      <c r="L314" t="inlineStr">
        <is>
          <t>Jefferson : McFarland &amp; Company, 2000.</t>
        </is>
      </c>
      <c r="M314" t="inlineStr">
        <is>
          <t>2000</t>
        </is>
      </c>
      <c r="O314" t="inlineStr">
        <is>
          <t>eng</t>
        </is>
      </c>
      <c r="P314" t="inlineStr">
        <is>
          <t>ncu</t>
        </is>
      </c>
      <c r="R314" t="inlineStr">
        <is>
          <t xml:space="preserve">R  </t>
        </is>
      </c>
      <c r="S314" t="n">
        <v>4</v>
      </c>
      <c r="T314" t="n">
        <v>4</v>
      </c>
      <c r="U314" t="inlineStr">
        <is>
          <t>2007-03-01</t>
        </is>
      </c>
      <c r="V314" t="inlineStr">
        <is>
          <t>2007-03-01</t>
        </is>
      </c>
      <c r="W314" t="inlineStr">
        <is>
          <t>2001-05-23</t>
        </is>
      </c>
      <c r="X314" t="inlineStr">
        <is>
          <t>2001-05-23</t>
        </is>
      </c>
      <c r="Y314" t="n">
        <v>488</v>
      </c>
      <c r="Z314" t="n">
        <v>449</v>
      </c>
      <c r="AA314" t="n">
        <v>476</v>
      </c>
      <c r="AB314" t="n">
        <v>3</v>
      </c>
      <c r="AC314" t="n">
        <v>3</v>
      </c>
      <c r="AD314" t="n">
        <v>17</v>
      </c>
      <c r="AE314" t="n">
        <v>17</v>
      </c>
      <c r="AF314" t="n">
        <v>6</v>
      </c>
      <c r="AG314" t="n">
        <v>6</v>
      </c>
      <c r="AH314" t="n">
        <v>6</v>
      </c>
      <c r="AI314" t="n">
        <v>6</v>
      </c>
      <c r="AJ314" t="n">
        <v>9</v>
      </c>
      <c r="AK314" t="n">
        <v>9</v>
      </c>
      <c r="AL314" t="n">
        <v>2</v>
      </c>
      <c r="AM314" t="n">
        <v>2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HYPERLINK("http://catalog.hathitrust.org/Record/003510217","HathiTrust Record")</f>
        <v/>
      </c>
      <c r="AS314">
        <f>HYPERLINK("https://creighton-primo.hosted.exlibrisgroup.com/primo-explore/search?tab=default_tab&amp;search_scope=EVERYTHING&amp;vid=01CRU&amp;lang=en_US&amp;offset=0&amp;query=any,contains,991003533919702656","Catalog Record")</f>
        <v/>
      </c>
      <c r="AT314">
        <f>HYPERLINK("http://www.worldcat.org/oclc/43542034","WorldCat Record")</f>
        <v/>
      </c>
    </row>
    <row r="315">
      <c r="A315" t="inlineStr">
        <is>
          <t>No</t>
        </is>
      </c>
      <c r="B315" t="inlineStr">
        <is>
          <t>R733 .F85 1989</t>
        </is>
      </c>
      <c r="C315" t="inlineStr">
        <is>
          <t>0                      R  0733000F  85          1989</t>
        </is>
      </c>
      <c r="D315" t="inlineStr">
        <is>
          <t>Alternative medicine and American religious life / Robert C. Fuller.</t>
        </is>
      </c>
      <c r="F315" t="inlineStr">
        <is>
          <t>No</t>
        </is>
      </c>
      <c r="G315" t="inlineStr">
        <is>
          <t>1</t>
        </is>
      </c>
      <c r="H315" t="inlineStr">
        <is>
          <t>Yes</t>
        </is>
      </c>
      <c r="I315" t="inlineStr">
        <is>
          <t>No</t>
        </is>
      </c>
      <c r="J315" t="inlineStr">
        <is>
          <t>0</t>
        </is>
      </c>
      <c r="K315" t="inlineStr">
        <is>
          <t>Fuller, Robert C., 1952-</t>
        </is>
      </c>
      <c r="L315" t="inlineStr">
        <is>
          <t>New York : Oxford University Press, 1989.</t>
        </is>
      </c>
      <c r="M315" t="inlineStr">
        <is>
          <t>1989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R  </t>
        </is>
      </c>
      <c r="S315" t="n">
        <v>2</v>
      </c>
      <c r="T315" t="n">
        <v>10</v>
      </c>
      <c r="U315" t="inlineStr">
        <is>
          <t>1994-09-26</t>
        </is>
      </c>
      <c r="V315" t="inlineStr">
        <is>
          <t>1999-04-28</t>
        </is>
      </c>
      <c r="W315" t="inlineStr">
        <is>
          <t>1990-08-15</t>
        </is>
      </c>
      <c r="X315" t="inlineStr">
        <is>
          <t>1990-08-15</t>
        </is>
      </c>
      <c r="Y315" t="n">
        <v>725</v>
      </c>
      <c r="Z315" t="n">
        <v>643</v>
      </c>
      <c r="AA315" t="n">
        <v>645</v>
      </c>
      <c r="AB315" t="n">
        <v>4</v>
      </c>
      <c r="AC315" t="n">
        <v>4</v>
      </c>
      <c r="AD315" t="n">
        <v>26</v>
      </c>
      <c r="AE315" t="n">
        <v>26</v>
      </c>
      <c r="AF315" t="n">
        <v>13</v>
      </c>
      <c r="AG315" t="n">
        <v>13</v>
      </c>
      <c r="AH315" t="n">
        <v>5</v>
      </c>
      <c r="AI315" t="n">
        <v>5</v>
      </c>
      <c r="AJ315" t="n">
        <v>14</v>
      </c>
      <c r="AK315" t="n">
        <v>14</v>
      </c>
      <c r="AL315" t="n">
        <v>2</v>
      </c>
      <c r="AM315" t="n">
        <v>2</v>
      </c>
      <c r="AN315" t="n">
        <v>1</v>
      </c>
      <c r="AO315" t="n">
        <v>1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HYPERLINK("http://catalog.hathitrust.org/Record/002544695","HathiTrust Record")</f>
        <v/>
      </c>
      <c r="AS315">
        <f>HYPERLINK("https://creighton-primo.hosted.exlibrisgroup.com/primo-explore/search?tab=default_tab&amp;search_scope=EVERYTHING&amp;vid=01CRU&amp;lang=en_US&amp;offset=0&amp;query=any,contains,991001800769702656","Catalog Record")</f>
        <v/>
      </c>
      <c r="AT315">
        <f>HYPERLINK("http://www.worldcat.org/oclc/18588017","WorldCat Record")</f>
        <v/>
      </c>
    </row>
    <row r="316">
      <c r="A316" t="inlineStr">
        <is>
          <t>No</t>
        </is>
      </c>
      <c r="B316" t="inlineStr">
        <is>
          <t>R733 .H4</t>
        </is>
      </c>
      <c r="C316" t="inlineStr">
        <is>
          <t>0                      R  0733000H  4</t>
        </is>
      </c>
      <c r="D316" t="inlineStr">
        <is>
          <t>Health for the whole person : the complete guide to holistic medicine / edited by Arthur C. Hastings, James Fadiman, James S. Gordon.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Boulder, Colo. : Westview Press, 1980.</t>
        </is>
      </c>
      <c r="M316" t="inlineStr">
        <is>
          <t>1980</t>
        </is>
      </c>
      <c r="O316" t="inlineStr">
        <is>
          <t>eng</t>
        </is>
      </c>
      <c r="P316" t="inlineStr">
        <is>
          <t>cou</t>
        </is>
      </c>
      <c r="R316" t="inlineStr">
        <is>
          <t xml:space="preserve">R  </t>
        </is>
      </c>
      <c r="S316" t="n">
        <v>11</v>
      </c>
      <c r="T316" t="n">
        <v>11</v>
      </c>
      <c r="U316" t="inlineStr">
        <is>
          <t>2005-02-25</t>
        </is>
      </c>
      <c r="V316" t="inlineStr">
        <is>
          <t>2005-02-25</t>
        </is>
      </c>
      <c r="W316" t="inlineStr">
        <is>
          <t>1992-03-03</t>
        </is>
      </c>
      <c r="X316" t="inlineStr">
        <is>
          <t>1992-03-03</t>
        </is>
      </c>
      <c r="Y316" t="n">
        <v>618</v>
      </c>
      <c r="Z316" t="n">
        <v>572</v>
      </c>
      <c r="AA316" t="n">
        <v>641</v>
      </c>
      <c r="AB316" t="n">
        <v>5</v>
      </c>
      <c r="AC316" t="n">
        <v>5</v>
      </c>
      <c r="AD316" t="n">
        <v>21</v>
      </c>
      <c r="AE316" t="n">
        <v>25</v>
      </c>
      <c r="AF316" t="n">
        <v>8</v>
      </c>
      <c r="AG316" t="n">
        <v>9</v>
      </c>
      <c r="AH316" t="n">
        <v>3</v>
      </c>
      <c r="AI316" t="n">
        <v>5</v>
      </c>
      <c r="AJ316" t="n">
        <v>12</v>
      </c>
      <c r="AK316" t="n">
        <v>13</v>
      </c>
      <c r="AL316" t="n">
        <v>4</v>
      </c>
      <c r="AM316" t="n">
        <v>4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HYPERLINK("http://catalog.hathitrust.org/Record/000706825","HathiTrust Record")</f>
        <v/>
      </c>
      <c r="AS316">
        <f>HYPERLINK("https://creighton-primo.hosted.exlibrisgroup.com/primo-explore/search?tab=default_tab&amp;search_scope=EVERYTHING&amp;vid=01CRU&amp;lang=en_US&amp;offset=0&amp;query=any,contains,991005257569702656","Catalog Record")</f>
        <v/>
      </c>
      <c r="AT316">
        <f>HYPERLINK("http://www.worldcat.org/oclc/5798683","WorldCat Record")</f>
        <v/>
      </c>
    </row>
    <row r="317">
      <c r="A317" t="inlineStr">
        <is>
          <t>No</t>
        </is>
      </c>
      <c r="B317" t="inlineStr">
        <is>
          <t>R733 .L36 1978</t>
        </is>
      </c>
      <c r="C317" t="inlineStr">
        <is>
          <t>0                      R  0733000L  36          1978</t>
        </is>
      </c>
      <c r="D317" t="inlineStr">
        <is>
          <t>Healing : the coming revolution in holistic medicine / Jack LaPatra.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LaPatra, Jack W., 1927-</t>
        </is>
      </c>
      <c r="L317" t="inlineStr">
        <is>
          <t>New York : McGraw-Hill, c1978.</t>
        </is>
      </c>
      <c r="M317" t="inlineStr">
        <is>
          <t>1978</t>
        </is>
      </c>
      <c r="O317" t="inlineStr">
        <is>
          <t>eng</t>
        </is>
      </c>
      <c r="P317" t="inlineStr">
        <is>
          <t>nyu</t>
        </is>
      </c>
      <c r="R317" t="inlineStr">
        <is>
          <t xml:space="preserve">R  </t>
        </is>
      </c>
      <c r="S317" t="n">
        <v>1</v>
      </c>
      <c r="T317" t="n">
        <v>1</v>
      </c>
      <c r="U317" t="inlineStr">
        <is>
          <t>2001-02-20</t>
        </is>
      </c>
      <c r="V317" t="inlineStr">
        <is>
          <t>2001-02-20</t>
        </is>
      </c>
      <c r="W317" t="inlineStr">
        <is>
          <t>1992-04-08</t>
        </is>
      </c>
      <c r="X317" t="inlineStr">
        <is>
          <t>1992-04-08</t>
        </is>
      </c>
      <c r="Y317" t="n">
        <v>282</v>
      </c>
      <c r="Z317" t="n">
        <v>250</v>
      </c>
      <c r="AA317" t="n">
        <v>259</v>
      </c>
      <c r="AB317" t="n">
        <v>2</v>
      </c>
      <c r="AC317" t="n">
        <v>2</v>
      </c>
      <c r="AD317" t="n">
        <v>4</v>
      </c>
      <c r="AE317" t="n">
        <v>5</v>
      </c>
      <c r="AF317" t="n">
        <v>2</v>
      </c>
      <c r="AG317" t="n">
        <v>2</v>
      </c>
      <c r="AH317" t="n">
        <v>0</v>
      </c>
      <c r="AI317" t="n">
        <v>1</v>
      </c>
      <c r="AJ317" t="n">
        <v>2</v>
      </c>
      <c r="AK317" t="n">
        <v>3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HYPERLINK("http://catalog.hathitrust.org/Record/000176738","HathiTrust Record")</f>
        <v/>
      </c>
      <c r="AS317">
        <f>HYPERLINK("https://creighton-primo.hosted.exlibrisgroup.com/primo-explore/search?tab=default_tab&amp;search_scope=EVERYTHING&amp;vid=01CRU&amp;lang=en_US&amp;offset=0&amp;query=any,contains,991004566549702656","Catalog Record")</f>
        <v/>
      </c>
      <c r="AT317">
        <f>HYPERLINK("http://www.worldcat.org/oclc/4004638","WorldCat Record")</f>
        <v/>
      </c>
    </row>
    <row r="318">
      <c r="A318" t="inlineStr">
        <is>
          <t>No</t>
        </is>
      </c>
      <c r="B318" t="inlineStr">
        <is>
          <t>R733 .W44 1983</t>
        </is>
      </c>
      <c r="C318" t="inlineStr">
        <is>
          <t>0                      R  0733000W  44          1983</t>
        </is>
      </c>
      <c r="D318" t="inlineStr">
        <is>
          <t>Health and healing : understanding conventional and alternative medicine / Andrew Weil.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Weil, Andrew.</t>
        </is>
      </c>
      <c r="L318" t="inlineStr">
        <is>
          <t>Boston : Houghton Mifflin, 1983.</t>
        </is>
      </c>
      <c r="M318" t="inlineStr">
        <is>
          <t>1983</t>
        </is>
      </c>
      <c r="O318" t="inlineStr">
        <is>
          <t>eng</t>
        </is>
      </c>
      <c r="P318" t="inlineStr">
        <is>
          <t>mau</t>
        </is>
      </c>
      <c r="R318" t="inlineStr">
        <is>
          <t xml:space="preserve">R  </t>
        </is>
      </c>
      <c r="S318" t="n">
        <v>23</v>
      </c>
      <c r="T318" t="n">
        <v>23</v>
      </c>
      <c r="U318" t="inlineStr">
        <is>
          <t>2005-02-25</t>
        </is>
      </c>
      <c r="V318" t="inlineStr">
        <is>
          <t>2005-02-25</t>
        </is>
      </c>
      <c r="W318" t="inlineStr">
        <is>
          <t>1992-04-06</t>
        </is>
      </c>
      <c r="X318" t="inlineStr">
        <is>
          <t>1992-04-06</t>
        </is>
      </c>
      <c r="Y318" t="n">
        <v>916</v>
      </c>
      <c r="Z318" t="n">
        <v>861</v>
      </c>
      <c r="AA318" t="n">
        <v>872</v>
      </c>
      <c r="AB318" t="n">
        <v>6</v>
      </c>
      <c r="AC318" t="n">
        <v>6</v>
      </c>
      <c r="AD318" t="n">
        <v>20</v>
      </c>
      <c r="AE318" t="n">
        <v>20</v>
      </c>
      <c r="AF318" t="n">
        <v>10</v>
      </c>
      <c r="AG318" t="n">
        <v>10</v>
      </c>
      <c r="AH318" t="n">
        <v>7</v>
      </c>
      <c r="AI318" t="n">
        <v>7</v>
      </c>
      <c r="AJ318" t="n">
        <v>7</v>
      </c>
      <c r="AK318" t="n">
        <v>7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HYPERLINK("https://creighton-primo.hosted.exlibrisgroup.com/primo-explore/search?tab=default_tab&amp;search_scope=EVERYTHING&amp;vid=01CRU&amp;lang=en_US&amp;offset=0&amp;query=any,contains,991000235949702656","Catalog Record")</f>
        <v/>
      </c>
      <c r="AT318">
        <f>HYPERLINK("http://www.worldcat.org/oclc/9647111","WorldCat Record")</f>
        <v/>
      </c>
    </row>
    <row r="319">
      <c r="A319" t="inlineStr">
        <is>
          <t>No</t>
        </is>
      </c>
      <c r="B319" t="inlineStr">
        <is>
          <t>R737 .B69 1983</t>
        </is>
      </c>
      <c r="C319" t="inlineStr">
        <is>
          <t>0                      R  0737000B  69          1983</t>
        </is>
      </c>
      <c r="D319" t="inlineStr">
        <is>
          <t>The private lives and professional identity of medical students / Robert S. Broadhead.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Broadhead, Robert S., 1947-</t>
        </is>
      </c>
      <c r="L319" t="inlineStr">
        <is>
          <t>New Brunswick, U.S.A. : Transaction Books, c1983.</t>
        </is>
      </c>
      <c r="M319" t="inlineStr">
        <is>
          <t>1983</t>
        </is>
      </c>
      <c r="O319" t="inlineStr">
        <is>
          <t>eng</t>
        </is>
      </c>
      <c r="P319" t="inlineStr">
        <is>
          <t>nju</t>
        </is>
      </c>
      <c r="R319" t="inlineStr">
        <is>
          <t xml:space="preserve">R  </t>
        </is>
      </c>
      <c r="S319" t="n">
        <v>9</v>
      </c>
      <c r="T319" t="n">
        <v>9</v>
      </c>
      <c r="U319" t="inlineStr">
        <is>
          <t>1999-11-09</t>
        </is>
      </c>
      <c r="V319" t="inlineStr">
        <is>
          <t>1999-11-09</t>
        </is>
      </c>
      <c r="W319" t="inlineStr">
        <is>
          <t>1991-12-09</t>
        </is>
      </c>
      <c r="X319" t="inlineStr">
        <is>
          <t>1991-12-09</t>
        </is>
      </c>
      <c r="Y319" t="n">
        <v>304</v>
      </c>
      <c r="Z319" t="n">
        <v>264</v>
      </c>
      <c r="AA319" t="n">
        <v>290</v>
      </c>
      <c r="AB319" t="n">
        <v>2</v>
      </c>
      <c r="AC319" t="n">
        <v>2</v>
      </c>
      <c r="AD319" t="n">
        <v>13</v>
      </c>
      <c r="AE319" t="n">
        <v>13</v>
      </c>
      <c r="AF319" t="n">
        <v>3</v>
      </c>
      <c r="AG319" t="n">
        <v>3</v>
      </c>
      <c r="AH319" t="n">
        <v>3</v>
      </c>
      <c r="AI319" t="n">
        <v>3</v>
      </c>
      <c r="AJ319" t="n">
        <v>7</v>
      </c>
      <c r="AK319" t="n">
        <v>7</v>
      </c>
      <c r="AL319" t="n">
        <v>1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HYPERLINK("https://creighton-primo.hosted.exlibrisgroup.com/primo-explore/search?tab=default_tab&amp;search_scope=EVERYTHING&amp;vid=01CRU&amp;lang=en_US&amp;offset=0&amp;query=any,contains,991000119979702656","Catalog Record")</f>
        <v/>
      </c>
      <c r="AT319">
        <f>HYPERLINK("http://www.worldcat.org/oclc/9066152","WorldCat Record")</f>
        <v/>
      </c>
    </row>
    <row r="320">
      <c r="A320" t="inlineStr">
        <is>
          <t>No</t>
        </is>
      </c>
      <c r="B320" t="inlineStr">
        <is>
          <t>R737 .B79 1966b</t>
        </is>
      </c>
      <c r="C320" t="inlineStr">
        <is>
          <t>0                      R  0737000B  79          1966b</t>
        </is>
      </c>
      <c r="D320" t="inlineStr">
        <is>
          <t>The development of medicine as a profession : the contribution of the medieval university to modern medicine / [by] Vern L. Bullough.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Bullough, Vern L.</t>
        </is>
      </c>
      <c r="L320" t="inlineStr">
        <is>
          <t>Basel ; New York : Karger, 1966.</t>
        </is>
      </c>
      <c r="M320" t="inlineStr">
        <is>
          <t>1966</t>
        </is>
      </c>
      <c r="O320" t="inlineStr">
        <is>
          <t>eng</t>
        </is>
      </c>
      <c r="P320" t="inlineStr">
        <is>
          <t xml:space="preserve">sz </t>
        </is>
      </c>
      <c r="R320" t="inlineStr">
        <is>
          <t xml:space="preserve">R  </t>
        </is>
      </c>
      <c r="S320" t="n">
        <v>3</v>
      </c>
      <c r="T320" t="n">
        <v>3</v>
      </c>
      <c r="U320" t="inlineStr">
        <is>
          <t>1994-10-01</t>
        </is>
      </c>
      <c r="V320" t="inlineStr">
        <is>
          <t>1994-10-01</t>
        </is>
      </c>
      <c r="W320" t="inlineStr">
        <is>
          <t>1992-02-07</t>
        </is>
      </c>
      <c r="X320" t="inlineStr">
        <is>
          <t>1992-02-07</t>
        </is>
      </c>
      <c r="Y320" t="n">
        <v>176</v>
      </c>
      <c r="Z320" t="n">
        <v>108</v>
      </c>
      <c r="AA320" t="n">
        <v>287</v>
      </c>
      <c r="AB320" t="n">
        <v>4</v>
      </c>
      <c r="AC320" t="n">
        <v>4</v>
      </c>
      <c r="AD320" t="n">
        <v>8</v>
      </c>
      <c r="AE320" t="n">
        <v>17</v>
      </c>
      <c r="AF320" t="n">
        <v>4</v>
      </c>
      <c r="AG320" t="n">
        <v>5</v>
      </c>
      <c r="AH320" t="n">
        <v>2</v>
      </c>
      <c r="AI320" t="n">
        <v>5</v>
      </c>
      <c r="AJ320" t="n">
        <v>2</v>
      </c>
      <c r="AK320" t="n">
        <v>8</v>
      </c>
      <c r="AL320" t="n">
        <v>2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HYPERLINK("http://catalog.hathitrust.org/Record/009087825","HathiTrust Record")</f>
        <v/>
      </c>
      <c r="AS320">
        <f>HYPERLINK("https://creighton-primo.hosted.exlibrisgroup.com/primo-explore/search?tab=default_tab&amp;search_scope=EVERYTHING&amp;vid=01CRU&amp;lang=en_US&amp;offset=0&amp;query=any,contains,991001773159702656","Catalog Record")</f>
        <v/>
      </c>
      <c r="AT320">
        <f>HYPERLINK("http://www.worldcat.org/oclc/2150201","WorldCat Record")</f>
        <v/>
      </c>
    </row>
    <row r="321">
      <c r="A321" t="inlineStr">
        <is>
          <t>No</t>
        </is>
      </c>
      <c r="B321" t="inlineStr">
        <is>
          <t>R737 .K557</t>
        </is>
      </c>
      <c r="C321" t="inlineStr">
        <is>
          <t>0                      R  0737000K  557</t>
        </is>
      </c>
      <c r="D321" t="inlineStr">
        <is>
          <t>Medical student; doctor in the making [by] James A. Knight. Foreword by Charles C. Sprague.</t>
        </is>
      </c>
      <c r="F321" t="inlineStr">
        <is>
          <t>No</t>
        </is>
      </c>
      <c r="G321" t="inlineStr">
        <is>
          <t>1</t>
        </is>
      </c>
      <c r="H321" t="inlineStr">
        <is>
          <t>Yes</t>
        </is>
      </c>
      <c r="I321" t="inlineStr">
        <is>
          <t>No</t>
        </is>
      </c>
      <c r="J321" t="inlineStr">
        <is>
          <t>0</t>
        </is>
      </c>
      <c r="K321" t="inlineStr">
        <is>
          <t>Knight, James A., 1918-1998.</t>
        </is>
      </c>
      <c r="L321" t="inlineStr">
        <is>
          <t>New York, Appleton-Century-Crofts [1973]</t>
        </is>
      </c>
      <c r="M321" t="inlineStr">
        <is>
          <t>1973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R  </t>
        </is>
      </c>
      <c r="S321" t="n">
        <v>11</v>
      </c>
      <c r="T321" t="n">
        <v>16</v>
      </c>
      <c r="U321" t="inlineStr">
        <is>
          <t>2006-10-13</t>
        </is>
      </c>
      <c r="V321" t="inlineStr">
        <is>
          <t>2006-10-13</t>
        </is>
      </c>
      <c r="W321" t="inlineStr">
        <is>
          <t>1991-12-09</t>
        </is>
      </c>
      <c r="X321" t="inlineStr">
        <is>
          <t>1991-12-09</t>
        </is>
      </c>
      <c r="Y321" t="n">
        <v>218</v>
      </c>
      <c r="Z321" t="n">
        <v>189</v>
      </c>
      <c r="AA321" t="n">
        <v>193</v>
      </c>
      <c r="AB321" t="n">
        <v>3</v>
      </c>
      <c r="AC321" t="n">
        <v>3</v>
      </c>
      <c r="AD321" t="n">
        <v>3</v>
      </c>
      <c r="AE321" t="n">
        <v>3</v>
      </c>
      <c r="AF321" t="n">
        <v>1</v>
      </c>
      <c r="AG321" t="n">
        <v>1</v>
      </c>
      <c r="AH321" t="n">
        <v>0</v>
      </c>
      <c r="AI321" t="n">
        <v>0</v>
      </c>
      <c r="AJ321" t="n">
        <v>1</v>
      </c>
      <c r="AK321" t="n">
        <v>1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HYPERLINK("http://catalog.hathitrust.org/Record/001577204","HathiTrust Record")</f>
        <v/>
      </c>
      <c r="AS321">
        <f>HYPERLINK("https://creighton-primo.hosted.exlibrisgroup.com/primo-explore/search?tab=default_tab&amp;search_scope=EVERYTHING&amp;vid=01CRU&amp;lang=en_US&amp;offset=0&amp;query=any,contains,991001788489702656","Catalog Record")</f>
        <v/>
      </c>
      <c r="AT321">
        <f>HYPERLINK("http://www.worldcat.org/oclc/702981","WorldCat Record")</f>
        <v/>
      </c>
    </row>
    <row r="322">
      <c r="A322" t="inlineStr">
        <is>
          <t>No</t>
        </is>
      </c>
      <c r="B322" t="inlineStr">
        <is>
          <t>R737 .N26 1986</t>
        </is>
      </c>
      <c r="C322" t="inlineStr">
        <is>
          <t>0                      R  0737000N  26          1986</t>
        </is>
      </c>
      <c r="D322" t="inlineStr">
        <is>
          <t>Values in medical practice : a statement of philosophy for physicians and a model for teaching a healing science / Rudolph J. Napodano.</t>
        </is>
      </c>
      <c r="F322" t="inlineStr">
        <is>
          <t>No</t>
        </is>
      </c>
      <c r="G322" t="inlineStr">
        <is>
          <t>1</t>
        </is>
      </c>
      <c r="H322" t="inlineStr">
        <is>
          <t>Yes</t>
        </is>
      </c>
      <c r="I322" t="inlineStr">
        <is>
          <t>No</t>
        </is>
      </c>
      <c r="J322" t="inlineStr">
        <is>
          <t>0</t>
        </is>
      </c>
      <c r="K322" t="inlineStr">
        <is>
          <t>Napodano, Rudolph J.</t>
        </is>
      </c>
      <c r="L322" t="inlineStr">
        <is>
          <t>New York, N.Y. : Human Sciences Press, c1986.</t>
        </is>
      </c>
      <c r="M322" t="inlineStr">
        <is>
          <t>1986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R  </t>
        </is>
      </c>
      <c r="S322" t="n">
        <v>4</v>
      </c>
      <c r="T322" t="n">
        <v>4</v>
      </c>
      <c r="U322" t="inlineStr">
        <is>
          <t>2005-10-27</t>
        </is>
      </c>
      <c r="V322" t="inlineStr">
        <is>
          <t>2005-10-27</t>
        </is>
      </c>
      <c r="W322" t="inlineStr">
        <is>
          <t>1992-03-23</t>
        </is>
      </c>
      <c r="X322" t="inlineStr">
        <is>
          <t>1992-03-23</t>
        </is>
      </c>
      <c r="Y322" t="n">
        <v>165</v>
      </c>
      <c r="Z322" t="n">
        <v>147</v>
      </c>
      <c r="AA322" t="n">
        <v>149</v>
      </c>
      <c r="AB322" t="n">
        <v>2</v>
      </c>
      <c r="AC322" t="n">
        <v>2</v>
      </c>
      <c r="AD322" t="n">
        <v>5</v>
      </c>
      <c r="AE322" t="n">
        <v>5</v>
      </c>
      <c r="AF322" t="n">
        <v>2</v>
      </c>
      <c r="AG322" t="n">
        <v>2</v>
      </c>
      <c r="AH322" t="n">
        <v>0</v>
      </c>
      <c r="AI322" t="n">
        <v>0</v>
      </c>
      <c r="AJ322" t="n">
        <v>4</v>
      </c>
      <c r="AK322" t="n">
        <v>4</v>
      </c>
      <c r="AL322" t="n">
        <v>0</v>
      </c>
      <c r="AM322" t="n">
        <v>0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HYPERLINK("http://catalog.hathitrust.org/Record/000432027","HathiTrust Record")</f>
        <v/>
      </c>
      <c r="AS322">
        <f>HYPERLINK("https://creighton-primo.hosted.exlibrisgroup.com/primo-explore/search?tab=default_tab&amp;search_scope=EVERYTHING&amp;vid=01CRU&amp;lang=en_US&amp;offset=0&amp;query=any,contains,991000706609702656","Catalog Record")</f>
        <v/>
      </c>
      <c r="AT322">
        <f>HYPERLINK("http://www.worldcat.org/oclc/12557530","WorldCat Record")</f>
        <v/>
      </c>
    </row>
    <row r="323">
      <c r="A323" t="inlineStr">
        <is>
          <t>No</t>
        </is>
      </c>
      <c r="B323" t="inlineStr">
        <is>
          <t>R737 .V5 1985</t>
        </is>
      </c>
      <c r="C323" t="inlineStr">
        <is>
          <t>0                      R  0737000V  5           1985</t>
        </is>
      </c>
      <c r="D323" t="inlineStr">
        <is>
          <t>Coping in medical school / Bernard Virshup.</t>
        </is>
      </c>
      <c r="F323" t="inlineStr">
        <is>
          <t>No</t>
        </is>
      </c>
      <c r="G323" t="inlineStr">
        <is>
          <t>1</t>
        </is>
      </c>
      <c r="H323" t="inlineStr">
        <is>
          <t>Yes</t>
        </is>
      </c>
      <c r="I323" t="inlineStr">
        <is>
          <t>No</t>
        </is>
      </c>
      <c r="J323" t="inlineStr">
        <is>
          <t>0</t>
        </is>
      </c>
      <c r="K323" t="inlineStr">
        <is>
          <t>Virshup, Bernard, 1922-</t>
        </is>
      </c>
      <c r="L323" t="inlineStr">
        <is>
          <t>New York : Norton, c1985.</t>
        </is>
      </c>
      <c r="M323" t="inlineStr">
        <is>
          <t>1985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R  </t>
        </is>
      </c>
      <c r="S323" t="n">
        <v>6</v>
      </c>
      <c r="T323" t="n">
        <v>6</v>
      </c>
      <c r="U323" t="inlineStr">
        <is>
          <t>2006-10-13</t>
        </is>
      </c>
      <c r="V323" t="inlineStr">
        <is>
          <t>2006-10-13</t>
        </is>
      </c>
      <c r="W323" t="inlineStr">
        <is>
          <t>1991-12-11</t>
        </is>
      </c>
      <c r="X323" t="inlineStr">
        <is>
          <t>1991-12-11</t>
        </is>
      </c>
      <c r="Y323" t="n">
        <v>126</v>
      </c>
      <c r="Z323" t="n">
        <v>114</v>
      </c>
      <c r="AA323" t="n">
        <v>206</v>
      </c>
      <c r="AB323" t="n">
        <v>2</v>
      </c>
      <c r="AC323" t="n">
        <v>2</v>
      </c>
      <c r="AD323" t="n">
        <v>1</v>
      </c>
      <c r="AE323" t="n">
        <v>3</v>
      </c>
      <c r="AF323" t="n">
        <v>0</v>
      </c>
      <c r="AG323" t="n">
        <v>2</v>
      </c>
      <c r="AH323" t="n">
        <v>0</v>
      </c>
      <c r="AI323" t="n">
        <v>0</v>
      </c>
      <c r="AJ323" t="n">
        <v>1</v>
      </c>
      <c r="AK323" t="n">
        <v>2</v>
      </c>
      <c r="AL323" t="n">
        <v>0</v>
      </c>
      <c r="AM323" t="n">
        <v>0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HYPERLINK("https://creighton-primo.hosted.exlibrisgroup.com/primo-explore/search?tab=default_tab&amp;search_scope=EVERYTHING&amp;vid=01CRU&amp;lang=en_US&amp;offset=0&amp;query=any,contains,991000653009702656","Catalog Record")</f>
        <v/>
      </c>
      <c r="AT323">
        <f>HYPERLINK("http://www.worldcat.org/oclc/12188797","WorldCat Record")</f>
        <v/>
      </c>
    </row>
    <row r="324">
      <c r="A324" t="inlineStr">
        <is>
          <t>No</t>
        </is>
      </c>
      <c r="B324" t="inlineStr">
        <is>
          <t>R745 .B45 1985</t>
        </is>
      </c>
      <c r="C324" t="inlineStr">
        <is>
          <t>0                      R  0745000B  45          1985</t>
        </is>
      </c>
      <c r="D324" t="inlineStr">
        <is>
          <t>A system of scientific medicine : philanthropic foundations in the Flexner era / Howard S. Berliner.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Berliner, Howard S., 1949-</t>
        </is>
      </c>
      <c r="L324" t="inlineStr">
        <is>
          <t>New York : Tavistock, 1985.</t>
        </is>
      </c>
      <c r="M324" t="inlineStr">
        <is>
          <t>1985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R  </t>
        </is>
      </c>
      <c r="S324" t="n">
        <v>3</v>
      </c>
      <c r="T324" t="n">
        <v>3</v>
      </c>
      <c r="U324" t="inlineStr">
        <is>
          <t>1997-10-15</t>
        </is>
      </c>
      <c r="V324" t="inlineStr">
        <is>
          <t>1997-10-15</t>
        </is>
      </c>
      <c r="W324" t="inlineStr">
        <is>
          <t>1993-03-09</t>
        </is>
      </c>
      <c r="X324" t="inlineStr">
        <is>
          <t>1993-03-09</t>
        </is>
      </c>
      <c r="Y324" t="n">
        <v>212</v>
      </c>
      <c r="Z324" t="n">
        <v>168</v>
      </c>
      <c r="AA324" t="n">
        <v>170</v>
      </c>
      <c r="AB324" t="n">
        <v>1</v>
      </c>
      <c r="AC324" t="n">
        <v>1</v>
      </c>
      <c r="AD324" t="n">
        <v>4</v>
      </c>
      <c r="AE324" t="n">
        <v>4</v>
      </c>
      <c r="AF324" t="n">
        <v>3</v>
      </c>
      <c r="AG324" t="n">
        <v>3</v>
      </c>
      <c r="AH324" t="n">
        <v>1</v>
      </c>
      <c r="AI324" t="n">
        <v>1</v>
      </c>
      <c r="AJ324" t="n">
        <v>1</v>
      </c>
      <c r="AK324" t="n">
        <v>1</v>
      </c>
      <c r="AL324" t="n">
        <v>0</v>
      </c>
      <c r="AM324" t="n">
        <v>0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HYPERLINK("http://catalog.hathitrust.org/Record/000424294","HathiTrust Record")</f>
        <v/>
      </c>
      <c r="AS324">
        <f>HYPERLINK("https://creighton-primo.hosted.exlibrisgroup.com/primo-explore/search?tab=default_tab&amp;search_scope=EVERYTHING&amp;vid=01CRU&amp;lang=en_US&amp;offset=0&amp;query=any,contains,991000669409702656","Catalog Record")</f>
        <v/>
      </c>
      <c r="AT324">
        <f>HYPERLINK("http://www.worldcat.org/oclc/12313335","WorldCat Record")</f>
        <v/>
      </c>
    </row>
    <row r="325">
      <c r="A325" t="inlineStr">
        <is>
          <t>No</t>
        </is>
      </c>
      <c r="B325" t="inlineStr">
        <is>
          <t>R745 .B46 1992</t>
        </is>
      </c>
      <c r="C325" t="inlineStr">
        <is>
          <t>0                      R  0745000B  46          1992</t>
        </is>
      </c>
      <c r="D325" t="inlineStr">
        <is>
          <t>Beyond Flexner : medical education in the twentieth century / edited by Barbara Barzansky and Norman Gevitz.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L325" t="inlineStr">
        <is>
          <t>New York : Greenwood Press, 1992.</t>
        </is>
      </c>
      <c r="M325" t="inlineStr">
        <is>
          <t>1992</t>
        </is>
      </c>
      <c r="O325" t="inlineStr">
        <is>
          <t>eng</t>
        </is>
      </c>
      <c r="P325" t="inlineStr">
        <is>
          <t>nyu</t>
        </is>
      </c>
      <c r="Q325" t="inlineStr">
        <is>
          <t>Contributions in medical studies, 0886-8220 ; no. 34</t>
        </is>
      </c>
      <c r="R325" t="inlineStr">
        <is>
          <t xml:space="preserve">R  </t>
        </is>
      </c>
      <c r="S325" t="n">
        <v>8</v>
      </c>
      <c r="T325" t="n">
        <v>8</v>
      </c>
      <c r="U325" t="inlineStr">
        <is>
          <t>2008-05-05</t>
        </is>
      </c>
      <c r="V325" t="inlineStr">
        <is>
          <t>2008-05-05</t>
        </is>
      </c>
      <c r="W325" t="inlineStr">
        <is>
          <t>1993-01-14</t>
        </is>
      </c>
      <c r="X325" t="inlineStr">
        <is>
          <t>1993-01-14</t>
        </is>
      </c>
      <c r="Y325" t="n">
        <v>184</v>
      </c>
      <c r="Z325" t="n">
        <v>144</v>
      </c>
      <c r="AA325" t="n">
        <v>146</v>
      </c>
      <c r="AB325" t="n">
        <v>1</v>
      </c>
      <c r="AC325" t="n">
        <v>1</v>
      </c>
      <c r="AD325" t="n">
        <v>9</v>
      </c>
      <c r="AE325" t="n">
        <v>9</v>
      </c>
      <c r="AF325" t="n">
        <v>3</v>
      </c>
      <c r="AG325" t="n">
        <v>3</v>
      </c>
      <c r="AH325" t="n">
        <v>1</v>
      </c>
      <c r="AI325" t="n">
        <v>1</v>
      </c>
      <c r="AJ325" t="n">
        <v>3</v>
      </c>
      <c r="AK325" t="n">
        <v>3</v>
      </c>
      <c r="AL325" t="n">
        <v>0</v>
      </c>
      <c r="AM325" t="n">
        <v>0</v>
      </c>
      <c r="AN325" t="n">
        <v>2</v>
      </c>
      <c r="AO325" t="n">
        <v>2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HYPERLINK("http://catalog.hathitrust.org/Record/002557398","HathiTrust Record")</f>
        <v/>
      </c>
      <c r="AS325">
        <f>HYPERLINK("https://creighton-primo.hosted.exlibrisgroup.com/primo-explore/search?tab=default_tab&amp;search_scope=EVERYTHING&amp;vid=01CRU&amp;lang=en_US&amp;offset=0&amp;query=any,contains,991001909169702656","Catalog Record")</f>
        <v/>
      </c>
      <c r="AT325">
        <f>HYPERLINK("http://www.worldcat.org/oclc/24108301","WorldCat Record")</f>
        <v/>
      </c>
    </row>
    <row r="326">
      <c r="A326" t="inlineStr">
        <is>
          <t>No</t>
        </is>
      </c>
      <c r="B326" t="inlineStr">
        <is>
          <t>R745 .C6 1986</t>
        </is>
      </c>
      <c r="C326" t="inlineStr">
        <is>
          <t>0                      R  0745000C  6           1986</t>
        </is>
      </c>
      <c r="D326" t="inlineStr">
        <is>
          <t>Medical education : making the grade in cost containment / editors, Russell D. Cunningham, Charles P. Friedman and Bill Weaver ; coordinating editor, Karen E. Lake.</t>
        </is>
      </c>
      <c r="F326" t="inlineStr">
        <is>
          <t>No</t>
        </is>
      </c>
      <c r="G326" t="inlineStr">
        <is>
          <t>1</t>
        </is>
      </c>
      <c r="H326" t="inlineStr">
        <is>
          <t>Yes</t>
        </is>
      </c>
      <c r="I326" t="inlineStr">
        <is>
          <t>No</t>
        </is>
      </c>
      <c r="J326" t="inlineStr">
        <is>
          <t>0</t>
        </is>
      </c>
      <c r="K326" t="inlineStr">
        <is>
          <t>Conference on Teaching and Learning in Cost-Effective Health Care (1984 : Saint Simons Island, Ga.)</t>
        </is>
      </c>
      <c r="L326" t="inlineStr">
        <is>
          <t>Battle Creek, Mich. : W.K. Kellogg Foundation, 1986.</t>
        </is>
      </c>
      <c r="M326" t="inlineStr">
        <is>
          <t>1986</t>
        </is>
      </c>
      <c r="O326" t="inlineStr">
        <is>
          <t>eng</t>
        </is>
      </c>
      <c r="P326" t="inlineStr">
        <is>
          <t>miu</t>
        </is>
      </c>
      <c r="R326" t="inlineStr">
        <is>
          <t xml:space="preserve">R  </t>
        </is>
      </c>
      <c r="S326" t="n">
        <v>2</v>
      </c>
      <c r="T326" t="n">
        <v>6</v>
      </c>
      <c r="U326" t="inlineStr">
        <is>
          <t>1995-04-20</t>
        </is>
      </c>
      <c r="V326" t="inlineStr">
        <is>
          <t>1995-04-20</t>
        </is>
      </c>
      <c r="W326" t="inlineStr">
        <is>
          <t>1992-02-07</t>
        </is>
      </c>
      <c r="X326" t="inlineStr">
        <is>
          <t>1992-02-07</t>
        </is>
      </c>
      <c r="Y326" t="n">
        <v>518</v>
      </c>
      <c r="Z326" t="n">
        <v>493</v>
      </c>
      <c r="AA326" t="n">
        <v>498</v>
      </c>
      <c r="AB326" t="n">
        <v>7</v>
      </c>
      <c r="AC326" t="n">
        <v>7</v>
      </c>
      <c r="AD326" t="n">
        <v>24</v>
      </c>
      <c r="AE326" t="n">
        <v>24</v>
      </c>
      <c r="AF326" t="n">
        <v>9</v>
      </c>
      <c r="AG326" t="n">
        <v>9</v>
      </c>
      <c r="AH326" t="n">
        <v>4</v>
      </c>
      <c r="AI326" t="n">
        <v>4</v>
      </c>
      <c r="AJ326" t="n">
        <v>11</v>
      </c>
      <c r="AK326" t="n">
        <v>11</v>
      </c>
      <c r="AL326" t="n">
        <v>5</v>
      </c>
      <c r="AM326" t="n">
        <v>5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HYPERLINK("http://catalog.hathitrust.org/Record/000401265","HathiTrust Record")</f>
        <v/>
      </c>
      <c r="AS326">
        <f>HYPERLINK("https://creighton-primo.hosted.exlibrisgroup.com/primo-explore/search?tab=default_tab&amp;search_scope=EVERYTHING&amp;vid=01CRU&amp;lang=en_US&amp;offset=0&amp;query=any,contains,991001788379702656","Catalog Record")</f>
        <v/>
      </c>
      <c r="AT326">
        <f>HYPERLINK("http://www.worldcat.org/oclc/17353744","WorldCat Record")</f>
        <v/>
      </c>
    </row>
    <row r="327">
      <c r="A327" t="inlineStr">
        <is>
          <t>No</t>
        </is>
      </c>
      <c r="B327" t="inlineStr">
        <is>
          <t>R745 .C924 1977</t>
        </is>
      </c>
      <c r="C327" t="inlineStr">
        <is>
          <t>0                      R  0745000C  924         1977</t>
        </is>
      </c>
      <c r="D327" t="inlineStr">
        <is>
          <t>Medical education since 1960 : marching to a different drummer / Andrew D. Hunt, general editor, Lewis E. Weeks, editor.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Conference on Medical Education Since 1960: Marching to a Different Drummer (1977 : Michigan State University)</t>
        </is>
      </c>
      <c r="L327" t="inlineStr">
        <is>
          <t>[East Lansing, Mich.] : Michigan State University Foundation, [1979]</t>
        </is>
      </c>
      <c r="M327" t="inlineStr">
        <is>
          <t>1979</t>
        </is>
      </c>
      <c r="O327" t="inlineStr">
        <is>
          <t>eng</t>
        </is>
      </c>
      <c r="P327" t="inlineStr">
        <is>
          <t>miu</t>
        </is>
      </c>
      <c r="R327" t="inlineStr">
        <is>
          <t xml:space="preserve">R  </t>
        </is>
      </c>
      <c r="S327" t="n">
        <v>3</v>
      </c>
      <c r="T327" t="n">
        <v>3</v>
      </c>
      <c r="U327" t="inlineStr">
        <is>
          <t>1993-10-16</t>
        </is>
      </c>
      <c r="V327" t="inlineStr">
        <is>
          <t>1993-10-16</t>
        </is>
      </c>
      <c r="W327" t="inlineStr">
        <is>
          <t>1991-08-22</t>
        </is>
      </c>
      <c r="X327" t="inlineStr">
        <is>
          <t>1991-08-22</t>
        </is>
      </c>
      <c r="Y327" t="n">
        <v>131</v>
      </c>
      <c r="Z327" t="n">
        <v>109</v>
      </c>
      <c r="AA327" t="n">
        <v>111</v>
      </c>
      <c r="AB327" t="n">
        <v>1</v>
      </c>
      <c r="AC327" t="n">
        <v>1</v>
      </c>
      <c r="AD327" t="n">
        <v>3</v>
      </c>
      <c r="AE327" t="n">
        <v>3</v>
      </c>
      <c r="AF327" t="n">
        <v>1</v>
      </c>
      <c r="AG327" t="n">
        <v>1</v>
      </c>
      <c r="AH327" t="n">
        <v>0</v>
      </c>
      <c r="AI327" t="n">
        <v>0</v>
      </c>
      <c r="AJ327" t="n">
        <v>2</v>
      </c>
      <c r="AK327" t="n">
        <v>2</v>
      </c>
      <c r="AL327" t="n">
        <v>0</v>
      </c>
      <c r="AM327" t="n">
        <v>0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HYPERLINK("http://catalog.hathitrust.org/Record/000021064","HathiTrust Record")</f>
        <v/>
      </c>
      <c r="AS327">
        <f>HYPERLINK("https://creighton-primo.hosted.exlibrisgroup.com/primo-explore/search?tab=default_tab&amp;search_scope=EVERYTHING&amp;vid=01CRU&amp;lang=en_US&amp;offset=0&amp;query=any,contains,991004959869702656","Catalog Record")</f>
        <v/>
      </c>
      <c r="AT327">
        <f>HYPERLINK("http://www.worldcat.org/oclc/6304284","WorldCat Record")</f>
        <v/>
      </c>
    </row>
    <row r="328">
      <c r="A328" t="inlineStr">
        <is>
          <t>No</t>
        </is>
      </c>
      <c r="B328" t="inlineStr">
        <is>
          <t>R745 .E37</t>
        </is>
      </c>
      <c r="C328" t="inlineStr">
        <is>
          <t>0                      R  0745000E  37</t>
        </is>
      </c>
      <c r="D328" t="inlineStr">
        <is>
          <t>The Education of American physicians : historical essays / edited by Ronald L. Numbers.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L328" t="inlineStr">
        <is>
          <t>Berkeley : University of California Press, c1980.</t>
        </is>
      </c>
      <c r="M328" t="inlineStr">
        <is>
          <t>1980</t>
        </is>
      </c>
      <c r="O328" t="inlineStr">
        <is>
          <t>eng</t>
        </is>
      </c>
      <c r="P328" t="inlineStr">
        <is>
          <t>cau</t>
        </is>
      </c>
      <c r="R328" t="inlineStr">
        <is>
          <t xml:space="preserve">R  </t>
        </is>
      </c>
      <c r="S328" t="n">
        <v>3</v>
      </c>
      <c r="T328" t="n">
        <v>3</v>
      </c>
      <c r="U328" t="inlineStr">
        <is>
          <t>2008-05-05</t>
        </is>
      </c>
      <c r="V328" t="inlineStr">
        <is>
          <t>2008-05-05</t>
        </is>
      </c>
      <c r="W328" t="inlineStr">
        <is>
          <t>1993-03-09</t>
        </is>
      </c>
      <c r="X328" t="inlineStr">
        <is>
          <t>1993-03-09</t>
        </is>
      </c>
      <c r="Y328" t="n">
        <v>335</v>
      </c>
      <c r="Z328" t="n">
        <v>290</v>
      </c>
      <c r="AA328" t="n">
        <v>291</v>
      </c>
      <c r="AB328" t="n">
        <v>1</v>
      </c>
      <c r="AC328" t="n">
        <v>1</v>
      </c>
      <c r="AD328" t="n">
        <v>10</v>
      </c>
      <c r="AE328" t="n">
        <v>10</v>
      </c>
      <c r="AF328" t="n">
        <v>5</v>
      </c>
      <c r="AG328" t="n">
        <v>5</v>
      </c>
      <c r="AH328" t="n">
        <v>1</v>
      </c>
      <c r="AI328" t="n">
        <v>1</v>
      </c>
      <c r="AJ328" t="n">
        <v>5</v>
      </c>
      <c r="AK328" t="n">
        <v>5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HYPERLINK("https://creighton-primo.hosted.exlibrisgroup.com/primo-explore/search?tab=default_tab&amp;search_scope=EVERYTHING&amp;vid=01CRU&amp;lang=en_US&amp;offset=0&amp;query=any,contains,991004932709702656","Catalog Record")</f>
        <v/>
      </c>
      <c r="AT328">
        <f>HYPERLINK("http://www.worldcat.org/oclc/6111792","WorldCat Record")</f>
        <v/>
      </c>
    </row>
    <row r="329">
      <c r="A329" t="inlineStr">
        <is>
          <t>No</t>
        </is>
      </c>
      <c r="B329" t="inlineStr">
        <is>
          <t>R745 .F73</t>
        </is>
      </c>
      <c r="C329" t="inlineStr">
        <is>
          <t>0                      R  0745000F  73</t>
        </is>
      </c>
      <c r="D329" t="inlineStr">
        <is>
          <t>The making of a physician : a ten-year longitudinal study of social class, academic achievement, and changing professional attitudes of a medical school class / Marcel A. Fredericks and Paul Mundy.</t>
        </is>
      </c>
      <c r="F329" t="inlineStr">
        <is>
          <t>No</t>
        </is>
      </c>
      <c r="G329" t="inlineStr">
        <is>
          <t>1</t>
        </is>
      </c>
      <c r="H329" t="inlineStr">
        <is>
          <t>Yes</t>
        </is>
      </c>
      <c r="I329" t="inlineStr">
        <is>
          <t>No</t>
        </is>
      </c>
      <c r="J329" t="inlineStr">
        <is>
          <t>0</t>
        </is>
      </c>
      <c r="K329" t="inlineStr">
        <is>
          <t>Fredericks, Marcel A., 1927-</t>
        </is>
      </c>
      <c r="L329" t="inlineStr">
        <is>
          <t>Chicago : Loyola University Press, c1976.</t>
        </is>
      </c>
      <c r="M329" t="inlineStr">
        <is>
          <t>1976</t>
        </is>
      </c>
      <c r="O329" t="inlineStr">
        <is>
          <t>eng</t>
        </is>
      </c>
      <c r="P329" t="inlineStr">
        <is>
          <t>ilu</t>
        </is>
      </c>
      <c r="R329" t="inlineStr">
        <is>
          <t xml:space="preserve">R  </t>
        </is>
      </c>
      <c r="S329" t="n">
        <v>2</v>
      </c>
      <c r="T329" t="n">
        <v>3</v>
      </c>
      <c r="U329" t="inlineStr">
        <is>
          <t>1992-01-03</t>
        </is>
      </c>
      <c r="V329" t="inlineStr">
        <is>
          <t>1992-01-03</t>
        </is>
      </c>
      <c r="W329" t="inlineStr">
        <is>
          <t>1990-11-19</t>
        </is>
      </c>
      <c r="X329" t="inlineStr">
        <is>
          <t>1990-11-19</t>
        </is>
      </c>
      <c r="Y329" t="n">
        <v>225</v>
      </c>
      <c r="Z329" t="n">
        <v>194</v>
      </c>
      <c r="AA329" t="n">
        <v>196</v>
      </c>
      <c r="AB329" t="n">
        <v>3</v>
      </c>
      <c r="AC329" t="n">
        <v>3</v>
      </c>
      <c r="AD329" t="n">
        <v>14</v>
      </c>
      <c r="AE329" t="n">
        <v>14</v>
      </c>
      <c r="AF329" t="n">
        <v>3</v>
      </c>
      <c r="AG329" t="n">
        <v>3</v>
      </c>
      <c r="AH329" t="n">
        <v>4</v>
      </c>
      <c r="AI329" t="n">
        <v>4</v>
      </c>
      <c r="AJ329" t="n">
        <v>10</v>
      </c>
      <c r="AK329" t="n">
        <v>10</v>
      </c>
      <c r="AL329" t="n">
        <v>1</v>
      </c>
      <c r="AM329" t="n">
        <v>1</v>
      </c>
      <c r="AN329" t="n">
        <v>1</v>
      </c>
      <c r="AO329" t="n">
        <v>1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HYPERLINK("http://catalog.hathitrust.org/Record/000695793","HathiTrust Record")</f>
        <v/>
      </c>
      <c r="AS329">
        <f>HYPERLINK("https://creighton-primo.hosted.exlibrisgroup.com/primo-explore/search?tab=default_tab&amp;search_scope=EVERYTHING&amp;vid=01CRU&amp;lang=en_US&amp;offset=0&amp;query=any,contains,991001788419702656","Catalog Record")</f>
        <v/>
      </c>
      <c r="AT329">
        <f>HYPERLINK("http://www.worldcat.org/oclc/1993212","WorldCat Record")</f>
        <v/>
      </c>
    </row>
    <row r="330">
      <c r="A330" t="inlineStr">
        <is>
          <t>No</t>
        </is>
      </c>
      <c r="B330" t="inlineStr">
        <is>
          <t>R745 .F74</t>
        </is>
      </c>
      <c r="C330" t="inlineStr">
        <is>
          <t>0                      R  0745000F  74</t>
        </is>
      </c>
      <c r="D330" t="inlineStr">
        <is>
          <t>Making it in med school : biography of a medical student / Marcel A. Fredericks, Paul Mundy.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Fredericks, Marcel A., 1927-</t>
        </is>
      </c>
      <c r="L330" t="inlineStr">
        <is>
          <t>Chicago : Loyola University Press, c1980.</t>
        </is>
      </c>
      <c r="M330" t="inlineStr">
        <is>
          <t>1980</t>
        </is>
      </c>
      <c r="O330" t="inlineStr">
        <is>
          <t>eng</t>
        </is>
      </c>
      <c r="P330" t="inlineStr">
        <is>
          <t>ilu</t>
        </is>
      </c>
      <c r="R330" t="inlineStr">
        <is>
          <t xml:space="preserve">R  </t>
        </is>
      </c>
      <c r="S330" t="n">
        <v>13</v>
      </c>
      <c r="T330" t="n">
        <v>13</v>
      </c>
      <c r="U330" t="inlineStr">
        <is>
          <t>2005-10-01</t>
        </is>
      </c>
      <c r="V330" t="inlineStr">
        <is>
          <t>2005-10-01</t>
        </is>
      </c>
      <c r="W330" t="inlineStr">
        <is>
          <t>1992-02-01</t>
        </is>
      </c>
      <c r="X330" t="inlineStr">
        <is>
          <t>1992-02-01</t>
        </is>
      </c>
      <c r="Y330" t="n">
        <v>125</v>
      </c>
      <c r="Z330" t="n">
        <v>118</v>
      </c>
      <c r="AA330" t="n">
        <v>121</v>
      </c>
      <c r="AB330" t="n">
        <v>1</v>
      </c>
      <c r="AC330" t="n">
        <v>1</v>
      </c>
      <c r="AD330" t="n">
        <v>11</v>
      </c>
      <c r="AE330" t="n">
        <v>12</v>
      </c>
      <c r="AF330" t="n">
        <v>3</v>
      </c>
      <c r="AG330" t="n">
        <v>3</v>
      </c>
      <c r="AH330" t="n">
        <v>3</v>
      </c>
      <c r="AI330" t="n">
        <v>4</v>
      </c>
      <c r="AJ330" t="n">
        <v>9</v>
      </c>
      <c r="AK330" t="n">
        <v>10</v>
      </c>
      <c r="AL330" t="n">
        <v>0</v>
      </c>
      <c r="AM330" t="n">
        <v>0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HYPERLINK("http://catalog.hathitrust.org/Record/003189198","HathiTrust Record")</f>
        <v/>
      </c>
      <c r="AS330">
        <f>HYPERLINK("https://creighton-primo.hosted.exlibrisgroup.com/primo-explore/search?tab=default_tab&amp;search_scope=EVERYTHING&amp;vid=01CRU&amp;lang=en_US&amp;offset=0&amp;query=any,contains,991004915039702656","Catalog Record")</f>
        <v/>
      </c>
      <c r="AT330">
        <f>HYPERLINK("http://www.worldcat.org/oclc/6015874","WorldCat Record")</f>
        <v/>
      </c>
    </row>
    <row r="331">
      <c r="A331" t="inlineStr">
        <is>
          <t>No</t>
        </is>
      </c>
      <c r="B331" t="inlineStr">
        <is>
          <t>R745 .H495 1997</t>
        </is>
      </c>
      <c r="C331" t="inlineStr">
        <is>
          <t>0                      R  0745000H  495         1997</t>
        </is>
      </c>
      <c r="D331" t="inlineStr">
        <is>
          <t>Evaluation of state efforts to improve the primary care workforce : scholarship/loan programs and medical education reforms / by Tim M. Henderson, Wendy Fox-Grage.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Henderson, Tim M.</t>
        </is>
      </c>
      <c r="L331" t="inlineStr">
        <is>
          <t>Denver, Colo. ; Washington, D.C. : National Conference of State Legislatures, c1997.</t>
        </is>
      </c>
      <c r="M331" t="inlineStr">
        <is>
          <t>1997</t>
        </is>
      </c>
      <c r="O331" t="inlineStr">
        <is>
          <t>eng</t>
        </is>
      </c>
      <c r="P331" t="inlineStr">
        <is>
          <t>cou</t>
        </is>
      </c>
      <c r="R331" t="inlineStr">
        <is>
          <t xml:space="preserve">R  </t>
        </is>
      </c>
      <c r="S331" t="n">
        <v>1</v>
      </c>
      <c r="T331" t="n">
        <v>1</v>
      </c>
      <c r="U331" t="inlineStr">
        <is>
          <t>2008-09-12</t>
        </is>
      </c>
      <c r="V331" t="inlineStr">
        <is>
          <t>2008-09-12</t>
        </is>
      </c>
      <c r="W331" t="inlineStr">
        <is>
          <t>2000-10-23</t>
        </is>
      </c>
      <c r="X331" t="inlineStr">
        <is>
          <t>2000-10-23</t>
        </is>
      </c>
      <c r="Y331" t="n">
        <v>23</v>
      </c>
      <c r="Z331" t="n">
        <v>23</v>
      </c>
      <c r="AA331" t="n">
        <v>24</v>
      </c>
      <c r="AB331" t="n">
        <v>1</v>
      </c>
      <c r="AC331" t="n">
        <v>1</v>
      </c>
      <c r="AD331" t="n">
        <v>1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0</v>
      </c>
      <c r="AM331" t="n">
        <v>0</v>
      </c>
      <c r="AN331" t="n">
        <v>1</v>
      </c>
      <c r="AO331" t="n">
        <v>1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HYPERLINK("https://creighton-primo.hosted.exlibrisgroup.com/primo-explore/search?tab=default_tab&amp;search_scope=EVERYTHING&amp;vid=01CRU&amp;lang=en_US&amp;offset=0&amp;query=any,contains,991003243589702656","Catalog Record")</f>
        <v/>
      </c>
      <c r="AT331">
        <f>HYPERLINK("http://www.worldcat.org/oclc/41070336","WorldCat Record")</f>
        <v/>
      </c>
    </row>
    <row r="332">
      <c r="A332" t="inlineStr">
        <is>
          <t>No</t>
        </is>
      </c>
      <c r="B332" t="inlineStr">
        <is>
          <t>R745 .L53</t>
        </is>
      </c>
      <c r="C332" t="inlineStr">
        <is>
          <t>0                      R  0745000L  53</t>
        </is>
      </c>
      <c r="D332" t="inlineStr">
        <is>
          <t>Men and women in medical school : how they change and how they compare / Jane Leserman.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Leserman, Jane.</t>
        </is>
      </c>
      <c r="L332" t="inlineStr">
        <is>
          <t>New York : Praeger, 1981.</t>
        </is>
      </c>
      <c r="M332" t="inlineStr">
        <is>
          <t>1981</t>
        </is>
      </c>
      <c r="O332" t="inlineStr">
        <is>
          <t>eng</t>
        </is>
      </c>
      <c r="P332" t="inlineStr">
        <is>
          <t>nyu</t>
        </is>
      </c>
      <c r="R332" t="inlineStr">
        <is>
          <t xml:space="preserve">R  </t>
        </is>
      </c>
      <c r="S332" t="n">
        <v>5</v>
      </c>
      <c r="T332" t="n">
        <v>5</v>
      </c>
      <c r="U332" t="inlineStr">
        <is>
          <t>1993-11-10</t>
        </is>
      </c>
      <c r="V332" t="inlineStr">
        <is>
          <t>1993-11-10</t>
        </is>
      </c>
      <c r="W332" t="inlineStr">
        <is>
          <t>1991-12-11</t>
        </is>
      </c>
      <c r="X332" t="inlineStr">
        <is>
          <t>1991-12-11</t>
        </is>
      </c>
      <c r="Y332" t="n">
        <v>280</v>
      </c>
      <c r="Z332" t="n">
        <v>252</v>
      </c>
      <c r="AA332" t="n">
        <v>275</v>
      </c>
      <c r="AB332" t="n">
        <v>3</v>
      </c>
      <c r="AC332" t="n">
        <v>3</v>
      </c>
      <c r="AD332" t="n">
        <v>16</v>
      </c>
      <c r="AE332" t="n">
        <v>17</v>
      </c>
      <c r="AF332" t="n">
        <v>8</v>
      </c>
      <c r="AG332" t="n">
        <v>8</v>
      </c>
      <c r="AH332" t="n">
        <v>4</v>
      </c>
      <c r="AI332" t="n">
        <v>4</v>
      </c>
      <c r="AJ332" t="n">
        <v>10</v>
      </c>
      <c r="AK332" t="n">
        <v>11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HYPERLINK("http://catalog.hathitrust.org/Record/000103438","HathiTrust Record")</f>
        <v/>
      </c>
      <c r="AS332">
        <f>HYPERLINK("https://creighton-primo.hosted.exlibrisgroup.com/primo-explore/search?tab=default_tab&amp;search_scope=EVERYTHING&amp;vid=01CRU&amp;lang=en_US&amp;offset=0&amp;query=any,contains,991005149969702656","Catalog Record")</f>
        <v/>
      </c>
      <c r="AT332">
        <f>HYPERLINK("http://www.worldcat.org/oclc/7722189","WorldCat Record")</f>
        <v/>
      </c>
    </row>
    <row r="333">
      <c r="A333" t="inlineStr">
        <is>
          <t>No</t>
        </is>
      </c>
      <c r="B333" t="inlineStr">
        <is>
          <t>R745 .L84 1985</t>
        </is>
      </c>
      <c r="C333" t="inlineStr">
        <is>
          <t>0                      R  0745000L  84          1985</t>
        </is>
      </c>
      <c r="D333" t="inlineStr">
        <is>
          <t>Learning to heal : the development of American medical education / Kenneth M. Ludmerer.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Ludmerer, Kenneth M.</t>
        </is>
      </c>
      <c r="L333" t="inlineStr">
        <is>
          <t>New York : Basic Books, c1985.</t>
        </is>
      </c>
      <c r="M333" t="inlineStr">
        <is>
          <t>1985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R  </t>
        </is>
      </c>
      <c r="S333" t="n">
        <v>4</v>
      </c>
      <c r="T333" t="n">
        <v>4</v>
      </c>
      <c r="U333" t="inlineStr">
        <is>
          <t>2008-09-29</t>
        </is>
      </c>
      <c r="V333" t="inlineStr">
        <is>
          <t>2008-09-29</t>
        </is>
      </c>
      <c r="W333" t="inlineStr">
        <is>
          <t>1993-03-09</t>
        </is>
      </c>
      <c r="X333" t="inlineStr">
        <is>
          <t>1993-03-09</t>
        </is>
      </c>
      <c r="Y333" t="n">
        <v>725</v>
      </c>
      <c r="Z333" t="n">
        <v>672</v>
      </c>
      <c r="AA333" t="n">
        <v>720</v>
      </c>
      <c r="AB333" t="n">
        <v>1</v>
      </c>
      <c r="AC333" t="n">
        <v>1</v>
      </c>
      <c r="AD333" t="n">
        <v>23</v>
      </c>
      <c r="AE333" t="n">
        <v>27</v>
      </c>
      <c r="AF333" t="n">
        <v>13</v>
      </c>
      <c r="AG333" t="n">
        <v>14</v>
      </c>
      <c r="AH333" t="n">
        <v>5</v>
      </c>
      <c r="AI333" t="n">
        <v>5</v>
      </c>
      <c r="AJ333" t="n">
        <v>12</v>
      </c>
      <c r="AK333" t="n">
        <v>15</v>
      </c>
      <c r="AL333" t="n">
        <v>0</v>
      </c>
      <c r="AM333" t="n">
        <v>0</v>
      </c>
      <c r="AN333" t="n">
        <v>2</v>
      </c>
      <c r="AO333" t="n">
        <v>2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HYPERLINK("http://catalog.hathitrust.org/Record/000375211","HathiTrust Record")</f>
        <v/>
      </c>
      <c r="AS333">
        <f>HYPERLINK("https://creighton-primo.hosted.exlibrisgroup.com/primo-explore/search?tab=default_tab&amp;search_scope=EVERYTHING&amp;vid=01CRU&amp;lang=en_US&amp;offset=0&amp;query=any,contains,991000677679702656","Catalog Record")</f>
        <v/>
      </c>
      <c r="AT333">
        <f>HYPERLINK("http://www.worldcat.org/oclc/12370294","WorldCat Record")</f>
        <v/>
      </c>
    </row>
    <row r="334">
      <c r="A334" t="inlineStr">
        <is>
          <t>No</t>
        </is>
      </c>
      <c r="B334" t="inlineStr">
        <is>
          <t>R745 .M615</t>
        </is>
      </c>
      <c r="C334" t="inlineStr">
        <is>
          <t>0                      R  0745000M  615</t>
        </is>
      </c>
      <c r="D334" t="inlineStr">
        <is>
          <t>Politics and the expanding physician supply / Michael Millman.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Millman, Michael L.</t>
        </is>
      </c>
      <c r="L334" t="inlineStr">
        <is>
          <t>Montclair, N.J. : Allanheld, Osmun, c1980.</t>
        </is>
      </c>
      <c r="M334" t="inlineStr">
        <is>
          <t>1979</t>
        </is>
      </c>
      <c r="O334" t="inlineStr">
        <is>
          <t>eng</t>
        </is>
      </c>
      <c r="P334" t="inlineStr">
        <is>
          <t>nju</t>
        </is>
      </c>
      <c r="Q334" t="inlineStr">
        <is>
          <t>Conservation of human resources series ; 11</t>
        </is>
      </c>
      <c r="R334" t="inlineStr">
        <is>
          <t xml:space="preserve">R  </t>
        </is>
      </c>
      <c r="S334" t="n">
        <v>1</v>
      </c>
      <c r="T334" t="n">
        <v>1</v>
      </c>
      <c r="U334" t="inlineStr">
        <is>
          <t>1993-10-16</t>
        </is>
      </c>
      <c r="V334" t="inlineStr">
        <is>
          <t>1993-10-16</t>
        </is>
      </c>
      <c r="W334" t="inlineStr">
        <is>
          <t>1993-03-09</t>
        </is>
      </c>
      <c r="X334" t="inlineStr">
        <is>
          <t>1993-03-09</t>
        </is>
      </c>
      <c r="Y334" t="n">
        <v>146</v>
      </c>
      <c r="Z334" t="n">
        <v>134</v>
      </c>
      <c r="AA334" t="n">
        <v>141</v>
      </c>
      <c r="AB334" t="n">
        <v>2</v>
      </c>
      <c r="AC334" t="n">
        <v>2</v>
      </c>
      <c r="AD334" t="n">
        <v>2</v>
      </c>
      <c r="AE334" t="n">
        <v>3</v>
      </c>
      <c r="AF334" t="n">
        <v>0</v>
      </c>
      <c r="AG334" t="n">
        <v>0</v>
      </c>
      <c r="AH334" t="n">
        <v>0</v>
      </c>
      <c r="AI334" t="n">
        <v>1</v>
      </c>
      <c r="AJ334" t="n">
        <v>1</v>
      </c>
      <c r="AK334" t="n">
        <v>2</v>
      </c>
      <c r="AL334" t="n">
        <v>1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HYPERLINK("http://catalog.hathitrust.org/Record/000138324","HathiTrust Record")</f>
        <v/>
      </c>
      <c r="AS334">
        <f>HYPERLINK("https://creighton-primo.hosted.exlibrisgroup.com/primo-explore/search?tab=default_tab&amp;search_scope=EVERYTHING&amp;vid=01CRU&amp;lang=en_US&amp;offset=0&amp;query=any,contains,991004857819702656","Catalog Record")</f>
        <v/>
      </c>
      <c r="AT334">
        <f>HYPERLINK("http://www.worldcat.org/oclc/5676596","WorldCat Record")</f>
        <v/>
      </c>
    </row>
    <row r="335">
      <c r="A335" t="inlineStr">
        <is>
          <t>No</t>
        </is>
      </c>
      <c r="B335" t="inlineStr">
        <is>
          <t>R838.4 .R67 1996</t>
        </is>
      </c>
      <c r="C335" t="inlineStr">
        <is>
          <t>0                      R  0838400R  67          1996</t>
        </is>
      </c>
      <c r="D335" t="inlineStr">
        <is>
          <t>The Princeton Review medical school companion : the ultimate guide to excelling in medical school and launching your career / Mary Ross-Dolen, Keith Berkowitz, Eyad Ali.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Ross-Dolen, Mary.</t>
        </is>
      </c>
      <c r="L335" t="inlineStr">
        <is>
          <t>New York : Random House, 1996.</t>
        </is>
      </c>
      <c r="M335" t="inlineStr">
        <is>
          <t>1996</t>
        </is>
      </c>
      <c r="N335" t="inlineStr">
        <is>
          <t>1st ed.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R  </t>
        </is>
      </c>
      <c r="S335" t="n">
        <v>7</v>
      </c>
      <c r="T335" t="n">
        <v>7</v>
      </c>
      <c r="U335" t="inlineStr">
        <is>
          <t>2009-08-26</t>
        </is>
      </c>
      <c r="V335" t="inlineStr">
        <is>
          <t>2009-08-26</t>
        </is>
      </c>
      <c r="W335" t="inlineStr">
        <is>
          <t>1996-06-04</t>
        </is>
      </c>
      <c r="X335" t="inlineStr">
        <is>
          <t>1996-06-04</t>
        </is>
      </c>
      <c r="Y335" t="n">
        <v>62</v>
      </c>
      <c r="Z335" t="n">
        <v>57</v>
      </c>
      <c r="AA335" t="n">
        <v>61</v>
      </c>
      <c r="AB335" t="n">
        <v>1</v>
      </c>
      <c r="AC335" t="n">
        <v>1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1</v>
      </c>
      <c r="AJ335" t="n">
        <v>0</v>
      </c>
      <c r="AK335" t="n">
        <v>1</v>
      </c>
      <c r="AL335" t="n">
        <v>0</v>
      </c>
      <c r="AM335" t="n">
        <v>0</v>
      </c>
      <c r="AN335" t="n">
        <v>0</v>
      </c>
      <c r="AO335" t="n">
        <v>0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HYPERLINK("https://creighton-primo.hosted.exlibrisgroup.com/primo-explore/search?tab=default_tab&amp;search_scope=EVERYTHING&amp;vid=01CRU&amp;lang=en_US&amp;offset=0&amp;query=any,contains,991002616789702656","Catalog Record")</f>
        <v/>
      </c>
      <c r="AT335">
        <f>HYPERLINK("http://www.worldcat.org/oclc/34303848","WorldCat Record")</f>
        <v/>
      </c>
    </row>
    <row r="336">
      <c r="A336" t="inlineStr">
        <is>
          <t>No</t>
        </is>
      </c>
      <c r="B336" t="inlineStr">
        <is>
          <t>R838.4 .W43 1982</t>
        </is>
      </c>
      <c r="C336" t="inlineStr">
        <is>
          <t>0                      R  0838400W  43          1982</t>
        </is>
      </c>
      <c r="D336" t="inlineStr">
        <is>
          <t>Medical school admissions, a strategy for success / Henry Wechsler, Barbara Gale.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Wechsler, Henry, 1932-</t>
        </is>
      </c>
      <c r="L336" t="inlineStr">
        <is>
          <t>Cambridge, Mass. : Ballinger Pub. Co., c1982.</t>
        </is>
      </c>
      <c r="M336" t="inlineStr">
        <is>
          <t>1982</t>
        </is>
      </c>
      <c r="O336" t="inlineStr">
        <is>
          <t>eng</t>
        </is>
      </c>
      <c r="P336" t="inlineStr">
        <is>
          <t>mau</t>
        </is>
      </c>
      <c r="R336" t="inlineStr">
        <is>
          <t xml:space="preserve">R  </t>
        </is>
      </c>
      <c r="S336" t="n">
        <v>15</v>
      </c>
      <c r="T336" t="n">
        <v>15</v>
      </c>
      <c r="U336" t="inlineStr">
        <is>
          <t>2004-09-19</t>
        </is>
      </c>
      <c r="V336" t="inlineStr">
        <is>
          <t>2004-09-19</t>
        </is>
      </c>
      <c r="W336" t="inlineStr">
        <is>
          <t>1992-02-12</t>
        </is>
      </c>
      <c r="X336" t="inlineStr">
        <is>
          <t>1992-02-12</t>
        </is>
      </c>
      <c r="Y336" t="n">
        <v>197</v>
      </c>
      <c r="Z336" t="n">
        <v>182</v>
      </c>
      <c r="AA336" t="n">
        <v>185</v>
      </c>
      <c r="AB336" t="n">
        <v>2</v>
      </c>
      <c r="AC336" t="n">
        <v>2</v>
      </c>
      <c r="AD336" t="n">
        <v>1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1</v>
      </c>
      <c r="AM336" t="n">
        <v>1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HYPERLINK("http://catalog.hathitrust.org/Record/000146086","HathiTrust Record")</f>
        <v/>
      </c>
      <c r="AS336">
        <f>HYPERLINK("https://creighton-primo.hosted.exlibrisgroup.com/primo-explore/search?tab=default_tab&amp;search_scope=EVERYTHING&amp;vid=01CRU&amp;lang=en_US&amp;offset=0&amp;query=any,contains,991005251929702656","Catalog Record")</f>
        <v/>
      </c>
      <c r="AT336">
        <f>HYPERLINK("http://www.worldcat.org/oclc/8494722","WorldCat Record")</f>
        <v/>
      </c>
    </row>
    <row r="337">
      <c r="A337" t="inlineStr">
        <is>
          <t>No</t>
        </is>
      </c>
      <c r="B337" t="inlineStr">
        <is>
          <t>R840 .P47 1991</t>
        </is>
      </c>
      <c r="C337" t="inlineStr">
        <is>
          <t>0                      R  0840000P  47          1991</t>
        </is>
      </c>
      <c r="D337" t="inlineStr">
        <is>
          <t>Staying human during residency training / Allan D. Peterkin.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Peterkin, Allan.</t>
        </is>
      </c>
      <c r="L337" t="inlineStr">
        <is>
          <t>Ottawa : Canadian Medical Association, 1991.</t>
        </is>
      </c>
      <c r="M337" t="inlineStr">
        <is>
          <t>1991</t>
        </is>
      </c>
      <c r="O337" t="inlineStr">
        <is>
          <t>eng</t>
        </is>
      </c>
      <c r="P337" t="inlineStr">
        <is>
          <t>onc</t>
        </is>
      </c>
      <c r="R337" t="inlineStr">
        <is>
          <t xml:space="preserve">R  </t>
        </is>
      </c>
      <c r="S337" t="n">
        <v>4</v>
      </c>
      <c r="T337" t="n">
        <v>4</v>
      </c>
      <c r="U337" t="inlineStr">
        <is>
          <t>2004-11-08</t>
        </is>
      </c>
      <c r="V337" t="inlineStr">
        <is>
          <t>2004-11-08</t>
        </is>
      </c>
      <c r="W337" t="inlineStr">
        <is>
          <t>1992-03-06</t>
        </is>
      </c>
      <c r="X337" t="inlineStr">
        <is>
          <t>1992-03-06</t>
        </is>
      </c>
      <c r="Y337" t="n">
        <v>15</v>
      </c>
      <c r="Z337" t="n">
        <v>5</v>
      </c>
      <c r="AA337" t="n">
        <v>86</v>
      </c>
      <c r="AB337" t="n">
        <v>1</v>
      </c>
      <c r="AC337" t="n">
        <v>1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HYPERLINK("https://creighton-primo.hosted.exlibrisgroup.com/primo-explore/search?tab=default_tab&amp;search_scope=EVERYTHING&amp;vid=01CRU&amp;lang=en_US&amp;offset=0&amp;query=any,contains,991001889589702656","Catalog Record")</f>
        <v/>
      </c>
      <c r="AT337">
        <f>HYPERLINK("http://www.worldcat.org/oclc/23838039","WorldCat Record")</f>
        <v/>
      </c>
    </row>
    <row r="338">
      <c r="A338" t="inlineStr">
        <is>
          <t>No</t>
        </is>
      </c>
      <c r="B338" t="inlineStr">
        <is>
          <t>R845 .C63 1984</t>
        </is>
      </c>
      <c r="C338" t="inlineStr">
        <is>
          <t>0                      R  0845000C  63          1984</t>
        </is>
      </c>
      <c r="D338" t="inlineStr">
        <is>
          <t>Continuing education for the health professions / Joseph S. Green ... [et al.], editors.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San Francisco : Jossey-Bass, 1984.</t>
        </is>
      </c>
      <c r="M338" t="inlineStr">
        <is>
          <t>1984</t>
        </is>
      </c>
      <c r="N338" t="inlineStr">
        <is>
          <t>1st ed.</t>
        </is>
      </c>
      <c r="O338" t="inlineStr">
        <is>
          <t>eng</t>
        </is>
      </c>
      <c r="P338" t="inlineStr">
        <is>
          <t>cau</t>
        </is>
      </c>
      <c r="Q338" t="inlineStr">
        <is>
          <t>Association of American Medical Colleges series in academic medicine</t>
        </is>
      </c>
      <c r="R338" t="inlineStr">
        <is>
          <t xml:space="preserve">R  </t>
        </is>
      </c>
      <c r="S338" t="n">
        <v>2</v>
      </c>
      <c r="T338" t="n">
        <v>2</v>
      </c>
      <c r="U338" t="inlineStr">
        <is>
          <t>1996-05-09</t>
        </is>
      </c>
      <c r="V338" t="inlineStr">
        <is>
          <t>1996-05-09</t>
        </is>
      </c>
      <c r="W338" t="inlineStr">
        <is>
          <t>1993-03-09</t>
        </is>
      </c>
      <c r="X338" t="inlineStr">
        <is>
          <t>1993-03-09</t>
        </is>
      </c>
      <c r="Y338" t="n">
        <v>235</v>
      </c>
      <c r="Z338" t="n">
        <v>183</v>
      </c>
      <c r="AA338" t="n">
        <v>191</v>
      </c>
      <c r="AB338" t="n">
        <v>2</v>
      </c>
      <c r="AC338" t="n">
        <v>2</v>
      </c>
      <c r="AD338" t="n">
        <v>6</v>
      </c>
      <c r="AE338" t="n">
        <v>6</v>
      </c>
      <c r="AF338" t="n">
        <v>3</v>
      </c>
      <c r="AG338" t="n">
        <v>3</v>
      </c>
      <c r="AH338" t="n">
        <v>1</v>
      </c>
      <c r="AI338" t="n">
        <v>1</v>
      </c>
      <c r="AJ338" t="n">
        <v>4</v>
      </c>
      <c r="AK338" t="n">
        <v>4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HYPERLINK("http://catalog.hathitrust.org/Record/000336329","HathiTrust Record")</f>
        <v/>
      </c>
      <c r="AS338">
        <f>HYPERLINK("https://creighton-primo.hosted.exlibrisgroup.com/primo-explore/search?tab=default_tab&amp;search_scope=EVERYTHING&amp;vid=01CRU&amp;lang=en_US&amp;offset=0&amp;query=any,contains,991000370409702656","Catalog Record")</f>
        <v/>
      </c>
      <c r="AT338">
        <f>HYPERLINK("http://www.worldcat.org/oclc/10429957","WorldCat Record")</f>
        <v/>
      </c>
    </row>
    <row r="339">
      <c r="A339" t="inlineStr">
        <is>
          <t>No</t>
        </is>
      </c>
      <c r="B339" t="inlineStr">
        <is>
          <t>R850 .B413 1957</t>
        </is>
      </c>
      <c r="C339" t="inlineStr">
        <is>
          <t>0                      R  0850000B  413         1957</t>
        </is>
      </c>
      <c r="D339" t="inlineStr">
        <is>
          <t>An introduction to the study of experimental medicine / translated by Henry Copley Green. With an introd. by Lawrence J. Henderson. With a new foreword by I. Bernard Cohen.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Yes</t>
        </is>
      </c>
      <c r="J339" t="inlineStr">
        <is>
          <t>0</t>
        </is>
      </c>
      <c r="K339" t="inlineStr">
        <is>
          <t>Bernard, Claude, 1813-1878.</t>
        </is>
      </c>
      <c r="L339" t="inlineStr">
        <is>
          <t>New York : Dover Publications, [1957]</t>
        </is>
      </c>
      <c r="M339" t="inlineStr">
        <is>
          <t>1957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R  </t>
        </is>
      </c>
      <c r="S339" t="n">
        <v>10</v>
      </c>
      <c r="T339" t="n">
        <v>10</v>
      </c>
      <c r="U339" t="inlineStr">
        <is>
          <t>2008-02-20</t>
        </is>
      </c>
      <c r="V339" t="inlineStr">
        <is>
          <t>2008-02-20</t>
        </is>
      </c>
      <c r="W339" t="inlineStr">
        <is>
          <t>1994-04-27</t>
        </is>
      </c>
      <c r="X339" t="inlineStr">
        <is>
          <t>1994-04-27</t>
        </is>
      </c>
      <c r="Y339" t="n">
        <v>550</v>
      </c>
      <c r="Z339" t="n">
        <v>451</v>
      </c>
      <c r="AA339" t="n">
        <v>746</v>
      </c>
      <c r="AB339" t="n">
        <v>5</v>
      </c>
      <c r="AC339" t="n">
        <v>8</v>
      </c>
      <c r="AD339" t="n">
        <v>22</v>
      </c>
      <c r="AE339" t="n">
        <v>31</v>
      </c>
      <c r="AF339" t="n">
        <v>6</v>
      </c>
      <c r="AG339" t="n">
        <v>9</v>
      </c>
      <c r="AH339" t="n">
        <v>3</v>
      </c>
      <c r="AI339" t="n">
        <v>6</v>
      </c>
      <c r="AJ339" t="n">
        <v>13</v>
      </c>
      <c r="AK339" t="n">
        <v>16</v>
      </c>
      <c r="AL339" t="n">
        <v>4</v>
      </c>
      <c r="AM339" t="n">
        <v>6</v>
      </c>
      <c r="AN339" t="n">
        <v>1</v>
      </c>
      <c r="AO339" t="n">
        <v>1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HYPERLINK("http://catalog.hathitrust.org/Record/000337617","HathiTrust Record")</f>
        <v/>
      </c>
      <c r="AS339">
        <f>HYPERLINK("https://creighton-primo.hosted.exlibrisgroup.com/primo-explore/search?tab=default_tab&amp;search_scope=EVERYTHING&amp;vid=01CRU&amp;lang=en_US&amp;offset=0&amp;query=any,contains,991002378769702656","Catalog Record")</f>
        <v/>
      </c>
      <c r="AT339">
        <f>HYPERLINK("http://www.worldcat.org/oclc/327900","WorldCat Record")</f>
        <v/>
      </c>
    </row>
    <row r="340">
      <c r="A340" t="inlineStr">
        <is>
          <t>No</t>
        </is>
      </c>
      <c r="B340" t="inlineStr">
        <is>
          <t>R850 .G68 1988</t>
        </is>
      </c>
      <c r="C340" t="inlineStr">
        <is>
          <t>0                      R  0850000G  68          1988</t>
        </is>
      </c>
      <c r="D340" t="inlineStr">
        <is>
          <t>Research in health care settings / Kathleen E. Grady, Barbara Strudler Wallston.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Grady, Kathleen E.</t>
        </is>
      </c>
      <c r="L340" t="inlineStr">
        <is>
          <t>Newbury Park, Calif. : Sage Publications, c1988.</t>
        </is>
      </c>
      <c r="M340" t="inlineStr">
        <is>
          <t>1988</t>
        </is>
      </c>
      <c r="O340" t="inlineStr">
        <is>
          <t>eng</t>
        </is>
      </c>
      <c r="P340" t="inlineStr">
        <is>
          <t>cau</t>
        </is>
      </c>
      <c r="Q340" t="inlineStr">
        <is>
          <t>Applied social research methods series ; v. 14</t>
        </is>
      </c>
      <c r="R340" t="inlineStr">
        <is>
          <t xml:space="preserve">R  </t>
        </is>
      </c>
      <c r="S340" t="n">
        <v>5</v>
      </c>
      <c r="T340" t="n">
        <v>5</v>
      </c>
      <c r="U340" t="inlineStr">
        <is>
          <t>1999-03-23</t>
        </is>
      </c>
      <c r="V340" t="inlineStr">
        <is>
          <t>1999-03-23</t>
        </is>
      </c>
      <c r="W340" t="inlineStr">
        <is>
          <t>1993-03-09</t>
        </is>
      </c>
      <c r="X340" t="inlineStr">
        <is>
          <t>1993-03-09</t>
        </is>
      </c>
      <c r="Y340" t="n">
        <v>475</v>
      </c>
      <c r="Z340" t="n">
        <v>335</v>
      </c>
      <c r="AA340" t="n">
        <v>390</v>
      </c>
      <c r="AB340" t="n">
        <v>4</v>
      </c>
      <c r="AC340" t="n">
        <v>5</v>
      </c>
      <c r="AD340" t="n">
        <v>22</v>
      </c>
      <c r="AE340" t="n">
        <v>24</v>
      </c>
      <c r="AF340" t="n">
        <v>8</v>
      </c>
      <c r="AG340" t="n">
        <v>8</v>
      </c>
      <c r="AH340" t="n">
        <v>5</v>
      </c>
      <c r="AI340" t="n">
        <v>6</v>
      </c>
      <c r="AJ340" t="n">
        <v>11</v>
      </c>
      <c r="AK340" t="n">
        <v>11</v>
      </c>
      <c r="AL340" t="n">
        <v>3</v>
      </c>
      <c r="AM340" t="n">
        <v>4</v>
      </c>
      <c r="AN340" t="n">
        <v>2</v>
      </c>
      <c r="AO340" t="n">
        <v>2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HYPERLINK("https://creighton-primo.hosted.exlibrisgroup.com/primo-explore/search?tab=default_tab&amp;search_scope=EVERYTHING&amp;vid=01CRU&amp;lang=en_US&amp;offset=0&amp;query=any,contains,991001226309702656","Catalog Record")</f>
        <v/>
      </c>
      <c r="AT340">
        <f>HYPERLINK("http://www.worldcat.org/oclc/17507441","WorldCat Record")</f>
        <v/>
      </c>
    </row>
    <row r="341">
      <c r="A341" t="inlineStr">
        <is>
          <t>No</t>
        </is>
      </c>
      <c r="B341" t="inlineStr">
        <is>
          <t>R852 .A75 1971b</t>
        </is>
      </c>
      <c r="C341" t="inlineStr">
        <is>
          <t>0                      R  0852000A  75          1971b</t>
        </is>
      </c>
      <c r="D341" t="inlineStr">
        <is>
          <t>Statistical methods in medical research, [by] P. Armitage.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Yes</t>
        </is>
      </c>
      <c r="J341" t="inlineStr">
        <is>
          <t>0</t>
        </is>
      </c>
      <c r="K341" t="inlineStr">
        <is>
          <t>Armitage, P.</t>
        </is>
      </c>
      <c r="L341" t="inlineStr">
        <is>
          <t>Oxford, Blackwell Scientific, 1971.</t>
        </is>
      </c>
      <c r="M341" t="inlineStr">
        <is>
          <t>1971</t>
        </is>
      </c>
      <c r="O341" t="inlineStr">
        <is>
          <t>eng</t>
        </is>
      </c>
      <c r="P341" t="inlineStr">
        <is>
          <t>enk</t>
        </is>
      </c>
      <c r="R341" t="inlineStr">
        <is>
          <t xml:space="preserve">R  </t>
        </is>
      </c>
      <c r="S341" t="n">
        <v>1</v>
      </c>
      <c r="T341" t="n">
        <v>1</v>
      </c>
      <c r="U341" t="inlineStr">
        <is>
          <t>2002-05-03</t>
        </is>
      </c>
      <c r="V341" t="inlineStr">
        <is>
          <t>2002-05-03</t>
        </is>
      </c>
      <c r="W341" t="inlineStr">
        <is>
          <t>1997-08-08</t>
        </is>
      </c>
      <c r="X341" t="inlineStr">
        <is>
          <t>1997-08-08</t>
        </is>
      </c>
      <c r="Y341" t="n">
        <v>261</v>
      </c>
      <c r="Z341" t="n">
        <v>115</v>
      </c>
      <c r="AA341" t="n">
        <v>838</v>
      </c>
      <c r="AB341" t="n">
        <v>2</v>
      </c>
      <c r="AC341" t="n">
        <v>7</v>
      </c>
      <c r="AD341" t="n">
        <v>3</v>
      </c>
      <c r="AE341" t="n">
        <v>32</v>
      </c>
      <c r="AF341" t="n">
        <v>1</v>
      </c>
      <c r="AG341" t="n">
        <v>9</v>
      </c>
      <c r="AH341" t="n">
        <v>1</v>
      </c>
      <c r="AI341" t="n">
        <v>10</v>
      </c>
      <c r="AJ341" t="n">
        <v>1</v>
      </c>
      <c r="AK341" t="n">
        <v>12</v>
      </c>
      <c r="AL341" t="n">
        <v>1</v>
      </c>
      <c r="AM341" t="n">
        <v>5</v>
      </c>
      <c r="AN341" t="n">
        <v>0</v>
      </c>
      <c r="AO341" t="n">
        <v>1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HYPERLINK("https://creighton-primo.hosted.exlibrisgroup.com/primo-explore/search?tab=default_tab&amp;search_scope=EVERYTHING&amp;vid=01CRU&amp;lang=en_US&amp;offset=0&amp;query=any,contains,991001907299702656","Catalog Record")</f>
        <v/>
      </c>
      <c r="AT341">
        <f>HYPERLINK("http://www.worldcat.org/oclc/240938","WorldCat Record")</f>
        <v/>
      </c>
    </row>
    <row r="342">
      <c r="A342" t="inlineStr">
        <is>
          <t>No</t>
        </is>
      </c>
      <c r="B342" t="inlineStr">
        <is>
          <t>R852 .B76 1998</t>
        </is>
      </c>
      <c r="C342" t="inlineStr">
        <is>
          <t>0                      R  0852000B  76          1998</t>
        </is>
      </c>
      <c r="D342" t="inlineStr">
        <is>
          <t>The ethics of biomedical research : an international perspective / Baruch A. Brody.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Brody, Baruch A.</t>
        </is>
      </c>
      <c r="L342" t="inlineStr">
        <is>
          <t>New York : Oxford University Press, 1998.</t>
        </is>
      </c>
      <c r="M342" t="inlineStr">
        <is>
          <t>1998</t>
        </is>
      </c>
      <c r="O342" t="inlineStr">
        <is>
          <t>eng</t>
        </is>
      </c>
      <c r="P342" t="inlineStr">
        <is>
          <t>nyu</t>
        </is>
      </c>
      <c r="R342" t="inlineStr">
        <is>
          <t xml:space="preserve">R  </t>
        </is>
      </c>
      <c r="S342" t="n">
        <v>12</v>
      </c>
      <c r="T342" t="n">
        <v>12</v>
      </c>
      <c r="U342" t="inlineStr">
        <is>
          <t>2007-04-11</t>
        </is>
      </c>
      <c r="V342" t="inlineStr">
        <is>
          <t>2007-04-11</t>
        </is>
      </c>
      <c r="W342" t="inlineStr">
        <is>
          <t>2000-08-22</t>
        </is>
      </c>
      <c r="X342" t="inlineStr">
        <is>
          <t>2000-08-22</t>
        </is>
      </c>
      <c r="Y342" t="n">
        <v>454</v>
      </c>
      <c r="Z342" t="n">
        <v>348</v>
      </c>
      <c r="AA342" t="n">
        <v>355</v>
      </c>
      <c r="AB342" t="n">
        <v>1</v>
      </c>
      <c r="AC342" t="n">
        <v>1</v>
      </c>
      <c r="AD342" t="n">
        <v>19</v>
      </c>
      <c r="AE342" t="n">
        <v>19</v>
      </c>
      <c r="AF342" t="n">
        <v>6</v>
      </c>
      <c r="AG342" t="n">
        <v>6</v>
      </c>
      <c r="AH342" t="n">
        <v>7</v>
      </c>
      <c r="AI342" t="n">
        <v>7</v>
      </c>
      <c r="AJ342" t="n">
        <v>10</v>
      </c>
      <c r="AK342" t="n">
        <v>10</v>
      </c>
      <c r="AL342" t="n">
        <v>0</v>
      </c>
      <c r="AM342" t="n">
        <v>0</v>
      </c>
      <c r="AN342" t="n">
        <v>3</v>
      </c>
      <c r="AO342" t="n">
        <v>3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HYPERLINK("http://catalog.hathitrust.org/Record/003267450","HathiTrust Record")</f>
        <v/>
      </c>
      <c r="AS342">
        <f>HYPERLINK("https://creighton-primo.hosted.exlibrisgroup.com/primo-explore/search?tab=default_tab&amp;search_scope=EVERYTHING&amp;vid=01CRU&amp;lang=en_US&amp;offset=0&amp;query=any,contains,991003222119702656","Catalog Record")</f>
        <v/>
      </c>
      <c r="AT342">
        <f>HYPERLINK("http://www.worldcat.org/oclc/37696614","WorldCat Record")</f>
        <v/>
      </c>
    </row>
    <row r="343">
      <c r="A343" t="inlineStr">
        <is>
          <t>No</t>
        </is>
      </c>
      <c r="B343" t="inlineStr">
        <is>
          <t>R853.A53 E74 1991</t>
        </is>
      </c>
      <c r="C343" t="inlineStr">
        <is>
          <t>0                      R  0853000A  53                 E  74          1991</t>
        </is>
      </c>
      <c r="D343" t="inlineStr">
        <is>
          <t>Lives in the balance : the ethics of using animals in biomedical research : the report of a working party of the Institute of Medical Ethics / edited by Jane A. Smith and Kenneth M. Boyd.</t>
        </is>
      </c>
      <c r="F343" t="inlineStr">
        <is>
          <t>No</t>
        </is>
      </c>
      <c r="G343" t="inlineStr">
        <is>
          <t>1</t>
        </is>
      </c>
      <c r="H343" t="inlineStr">
        <is>
          <t>Yes</t>
        </is>
      </c>
      <c r="I343" t="inlineStr">
        <is>
          <t>No</t>
        </is>
      </c>
      <c r="J343" t="inlineStr">
        <is>
          <t>0</t>
        </is>
      </c>
      <c r="L343" t="inlineStr">
        <is>
          <t>Oxford ; New York : Oxford University Press, 1991.</t>
        </is>
      </c>
      <c r="M343" t="inlineStr">
        <is>
          <t>1991</t>
        </is>
      </c>
      <c r="O343" t="inlineStr">
        <is>
          <t>eng</t>
        </is>
      </c>
      <c r="P343" t="inlineStr">
        <is>
          <t>enk</t>
        </is>
      </c>
      <c r="R343" t="inlineStr">
        <is>
          <t xml:space="preserve">R  </t>
        </is>
      </c>
      <c r="S343" t="n">
        <v>41</v>
      </c>
      <c r="T343" t="n">
        <v>41</v>
      </c>
      <c r="U343" t="inlineStr">
        <is>
          <t>2000-11-08</t>
        </is>
      </c>
      <c r="V343" t="inlineStr">
        <is>
          <t>2000-11-08</t>
        </is>
      </c>
      <c r="W343" t="inlineStr">
        <is>
          <t>1992-05-26</t>
        </is>
      </c>
      <c r="X343" t="inlineStr">
        <is>
          <t>1992-05-26</t>
        </is>
      </c>
      <c r="Y343" t="n">
        <v>617</v>
      </c>
      <c r="Z343" t="n">
        <v>489</v>
      </c>
      <c r="AA343" t="n">
        <v>495</v>
      </c>
      <c r="AB343" t="n">
        <v>4</v>
      </c>
      <c r="AC343" t="n">
        <v>4</v>
      </c>
      <c r="AD343" t="n">
        <v>31</v>
      </c>
      <c r="AE343" t="n">
        <v>31</v>
      </c>
      <c r="AF343" t="n">
        <v>12</v>
      </c>
      <c r="AG343" t="n">
        <v>12</v>
      </c>
      <c r="AH343" t="n">
        <v>7</v>
      </c>
      <c r="AI343" t="n">
        <v>7</v>
      </c>
      <c r="AJ343" t="n">
        <v>10</v>
      </c>
      <c r="AK343" t="n">
        <v>10</v>
      </c>
      <c r="AL343" t="n">
        <v>2</v>
      </c>
      <c r="AM343" t="n">
        <v>2</v>
      </c>
      <c r="AN343" t="n">
        <v>7</v>
      </c>
      <c r="AO343" t="n">
        <v>7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HYPERLINK("http://catalog.hathitrust.org/Record/002511510","HathiTrust Record")</f>
        <v/>
      </c>
      <c r="AS343">
        <f>HYPERLINK("https://creighton-primo.hosted.exlibrisgroup.com/primo-explore/search?tab=default_tab&amp;search_scope=EVERYTHING&amp;vid=01CRU&amp;lang=en_US&amp;offset=0&amp;query=any,contains,991001880779702656","Catalog Record")</f>
        <v/>
      </c>
      <c r="AT343">
        <f>HYPERLINK("http://www.worldcat.org/oclc/23731739","WorldCat Record")</f>
        <v/>
      </c>
    </row>
    <row r="344">
      <c r="A344" t="inlineStr">
        <is>
          <t>No</t>
        </is>
      </c>
      <c r="B344" t="inlineStr">
        <is>
          <t>R853.C55 M38 1995</t>
        </is>
      </c>
      <c r="C344" t="inlineStr">
        <is>
          <t>0                      R  0853000C  55                 M  38          1995</t>
        </is>
      </c>
      <c r="D344" t="inlineStr">
        <is>
          <t>Quantification and the quest for medical certainty / J. Rosser Matthews.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Matthews, J. Rosser, 1964-</t>
        </is>
      </c>
      <c r="L344" t="inlineStr">
        <is>
          <t>Princeton, N.J. : Princeton University Press, c1995.</t>
        </is>
      </c>
      <c r="M344" t="inlineStr">
        <is>
          <t>1995</t>
        </is>
      </c>
      <c r="O344" t="inlineStr">
        <is>
          <t>eng</t>
        </is>
      </c>
      <c r="P344" t="inlineStr">
        <is>
          <t>nju</t>
        </is>
      </c>
      <c r="R344" t="inlineStr">
        <is>
          <t xml:space="preserve">R  </t>
        </is>
      </c>
      <c r="S344" t="n">
        <v>1</v>
      </c>
      <c r="T344" t="n">
        <v>1</v>
      </c>
      <c r="U344" t="inlineStr">
        <is>
          <t>2007-08-23</t>
        </is>
      </c>
      <c r="V344" t="inlineStr">
        <is>
          <t>2007-08-23</t>
        </is>
      </c>
      <c r="W344" t="inlineStr">
        <is>
          <t>1996-08-21</t>
        </is>
      </c>
      <c r="X344" t="inlineStr">
        <is>
          <t>1996-08-21</t>
        </is>
      </c>
      <c r="Y344" t="n">
        <v>243</v>
      </c>
      <c r="Z344" t="n">
        <v>164</v>
      </c>
      <c r="AA344" t="n">
        <v>495</v>
      </c>
      <c r="AB344" t="n">
        <v>1</v>
      </c>
      <c r="AC344" t="n">
        <v>26</v>
      </c>
      <c r="AD344" t="n">
        <v>6</v>
      </c>
      <c r="AE344" t="n">
        <v>22</v>
      </c>
      <c r="AF344" t="n">
        <v>1</v>
      </c>
      <c r="AG344" t="n">
        <v>5</v>
      </c>
      <c r="AH344" t="n">
        <v>3</v>
      </c>
      <c r="AI344" t="n">
        <v>3</v>
      </c>
      <c r="AJ344" t="n">
        <v>3</v>
      </c>
      <c r="AK344" t="n">
        <v>5</v>
      </c>
      <c r="AL344" t="n">
        <v>0</v>
      </c>
      <c r="AM344" t="n">
        <v>11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HYPERLINK("https://creighton-primo.hosted.exlibrisgroup.com/primo-explore/search?tab=default_tab&amp;search_scope=EVERYTHING&amp;vid=01CRU&amp;lang=en_US&amp;offset=0&amp;query=any,contains,991002422039702656","Catalog Record")</f>
        <v/>
      </c>
      <c r="AT344">
        <f>HYPERLINK("http://www.worldcat.org/oclc/31604425","WorldCat Record")</f>
        <v/>
      </c>
    </row>
    <row r="345">
      <c r="A345" t="inlineStr">
        <is>
          <t>No</t>
        </is>
      </c>
      <c r="B345" t="inlineStr">
        <is>
          <t>R853.C55 Q56 2001</t>
        </is>
      </c>
      <c r="C345" t="inlineStr">
        <is>
          <t>0                      R  0853000C  55                 Q  56          2001</t>
        </is>
      </c>
      <c r="D345" t="inlineStr">
        <is>
          <t>Human trials : scientists, investors, and patients in the quest for a cure / Susan Quinn.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Quinn, Susan.</t>
        </is>
      </c>
      <c r="L345" t="inlineStr">
        <is>
          <t>Cambridge, Mass. : Perseus Publishing, c2001.</t>
        </is>
      </c>
      <c r="M345" t="inlineStr">
        <is>
          <t>2001</t>
        </is>
      </c>
      <c r="O345" t="inlineStr">
        <is>
          <t>eng</t>
        </is>
      </c>
      <c r="P345" t="inlineStr">
        <is>
          <t>mau</t>
        </is>
      </c>
      <c r="R345" t="inlineStr">
        <is>
          <t xml:space="preserve">R  </t>
        </is>
      </c>
      <c r="S345" t="n">
        <v>2</v>
      </c>
      <c r="T345" t="n">
        <v>2</v>
      </c>
      <c r="U345" t="inlineStr">
        <is>
          <t>2001-08-28</t>
        </is>
      </c>
      <c r="V345" t="inlineStr">
        <is>
          <t>2001-08-28</t>
        </is>
      </c>
      <c r="W345" t="inlineStr">
        <is>
          <t>2001-08-28</t>
        </is>
      </c>
      <c r="X345" t="inlineStr">
        <is>
          <t>2001-08-28</t>
        </is>
      </c>
      <c r="Y345" t="n">
        <v>675</v>
      </c>
      <c r="Z345" t="n">
        <v>629</v>
      </c>
      <c r="AA345" t="n">
        <v>648</v>
      </c>
      <c r="AB345" t="n">
        <v>4</v>
      </c>
      <c r="AC345" t="n">
        <v>4</v>
      </c>
      <c r="AD345" t="n">
        <v>21</v>
      </c>
      <c r="AE345" t="n">
        <v>21</v>
      </c>
      <c r="AF345" t="n">
        <v>10</v>
      </c>
      <c r="AG345" t="n">
        <v>10</v>
      </c>
      <c r="AH345" t="n">
        <v>4</v>
      </c>
      <c r="AI345" t="n">
        <v>4</v>
      </c>
      <c r="AJ345" t="n">
        <v>10</v>
      </c>
      <c r="AK345" t="n">
        <v>10</v>
      </c>
      <c r="AL345" t="n">
        <v>3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HYPERLINK("http://catalog.hathitrust.org/Record/008466311","HathiTrust Record")</f>
        <v/>
      </c>
      <c r="AS345">
        <f>HYPERLINK("https://creighton-primo.hosted.exlibrisgroup.com/primo-explore/search?tab=default_tab&amp;search_scope=EVERYTHING&amp;vid=01CRU&amp;lang=en_US&amp;offset=0&amp;query=any,contains,991003593269702656","Catalog Record")</f>
        <v/>
      </c>
      <c r="AT345">
        <f>HYPERLINK("http://www.worldcat.org/oclc/47007067","WorldCat Record")</f>
        <v/>
      </c>
    </row>
    <row r="346">
      <c r="A346" t="inlineStr">
        <is>
          <t>No</t>
        </is>
      </c>
      <c r="B346" t="inlineStr">
        <is>
          <t>R853.H8 D68 1980</t>
        </is>
      </c>
      <c r="C346" t="inlineStr">
        <is>
          <t>0                      R  0853000H  8                  D  68          1980</t>
        </is>
      </c>
      <c r="D346" t="inlineStr">
        <is>
          <t>The human person as research subject / Charles J. Dougherty.</t>
        </is>
      </c>
      <c r="F346" t="inlineStr">
        <is>
          <t>No</t>
        </is>
      </c>
      <c r="G346" t="inlineStr">
        <is>
          <t>1</t>
        </is>
      </c>
      <c r="H346" t="inlineStr">
        <is>
          <t>Yes</t>
        </is>
      </c>
      <c r="I346" t="inlineStr">
        <is>
          <t>No</t>
        </is>
      </c>
      <c r="J346" t="inlineStr">
        <is>
          <t>0</t>
        </is>
      </c>
      <c r="K346" t="inlineStr">
        <is>
          <t>Dougherty, Charles J., 1949-</t>
        </is>
      </c>
      <c r="L346" t="inlineStr">
        <is>
          <t>Omaha, Neb. : [s.n.], c1980.</t>
        </is>
      </c>
      <c r="M346" t="inlineStr">
        <is>
          <t>1980</t>
        </is>
      </c>
      <c r="O346" t="inlineStr">
        <is>
          <t>eng</t>
        </is>
      </c>
      <c r="P346" t="inlineStr">
        <is>
          <t>nbu</t>
        </is>
      </c>
      <c r="R346" t="inlineStr">
        <is>
          <t xml:space="preserve">R  </t>
        </is>
      </c>
      <c r="S346" t="n">
        <v>4</v>
      </c>
      <c r="T346" t="n">
        <v>12</v>
      </c>
      <c r="U346" t="inlineStr">
        <is>
          <t>1997-01-23</t>
        </is>
      </c>
      <c r="V346" t="inlineStr">
        <is>
          <t>1998-01-09</t>
        </is>
      </c>
      <c r="W346" t="inlineStr">
        <is>
          <t>1995-12-05</t>
        </is>
      </c>
      <c r="X346" t="inlineStr">
        <is>
          <t>1995-12-05</t>
        </is>
      </c>
      <c r="Y346" t="n">
        <v>2</v>
      </c>
      <c r="Z346" t="n">
        <v>2</v>
      </c>
      <c r="AA346" t="n">
        <v>2</v>
      </c>
      <c r="AB346" t="n">
        <v>2</v>
      </c>
      <c r="AC346" t="n">
        <v>2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HYPERLINK("https://creighton-primo.hosted.exlibrisgroup.com/primo-explore/search?tab=default_tab&amp;search_scope=EVERYTHING&amp;vid=01CRU&amp;lang=en_US&amp;offset=0&amp;query=any,contains,991001788769702656","Catalog Record")</f>
        <v/>
      </c>
      <c r="AT346">
        <f>HYPERLINK("http://www.worldcat.org/oclc/10125530","WorldCat Record")</f>
        <v/>
      </c>
    </row>
    <row r="347">
      <c r="A347" t="inlineStr">
        <is>
          <t>No</t>
        </is>
      </c>
      <c r="B347" t="inlineStr">
        <is>
          <t>R853.H8 R35 1975</t>
        </is>
      </c>
      <c r="C347" t="inlineStr">
        <is>
          <t>0                      R  0853000H  8                  R  35          1975</t>
        </is>
      </c>
      <c r="D347" t="inlineStr">
        <is>
          <t>The ethics of fetal research / Paul Ramsey.</t>
        </is>
      </c>
      <c r="F347" t="inlineStr">
        <is>
          <t>No</t>
        </is>
      </c>
      <c r="G347" t="inlineStr">
        <is>
          <t>1</t>
        </is>
      </c>
      <c r="H347" t="inlineStr">
        <is>
          <t>Yes</t>
        </is>
      </c>
      <c r="I347" t="inlineStr">
        <is>
          <t>No</t>
        </is>
      </c>
      <c r="J347" t="inlineStr">
        <is>
          <t>0</t>
        </is>
      </c>
      <c r="K347" t="inlineStr">
        <is>
          <t>Ramsey, Paul.</t>
        </is>
      </c>
      <c r="L347" t="inlineStr">
        <is>
          <t>New Haven : Yale University Press, 1975.</t>
        </is>
      </c>
      <c r="M347" t="inlineStr">
        <is>
          <t>1975</t>
        </is>
      </c>
      <c r="O347" t="inlineStr">
        <is>
          <t>eng</t>
        </is>
      </c>
      <c r="P347" t="inlineStr">
        <is>
          <t>ctu</t>
        </is>
      </c>
      <c r="Q347" t="inlineStr">
        <is>
          <t>A Yale fastback ; 15</t>
        </is>
      </c>
      <c r="R347" t="inlineStr">
        <is>
          <t xml:space="preserve">R  </t>
        </is>
      </c>
      <c r="S347" t="n">
        <v>21</v>
      </c>
      <c r="T347" t="n">
        <v>25</v>
      </c>
      <c r="U347" t="inlineStr">
        <is>
          <t>2010-06-10</t>
        </is>
      </c>
      <c r="V347" t="inlineStr">
        <is>
          <t>2010-06-10</t>
        </is>
      </c>
      <c r="W347" t="inlineStr">
        <is>
          <t>1990-04-18</t>
        </is>
      </c>
      <c r="X347" t="inlineStr">
        <is>
          <t>1990-04-18</t>
        </is>
      </c>
      <c r="Y347" t="n">
        <v>994</v>
      </c>
      <c r="Z347" t="n">
        <v>852</v>
      </c>
      <c r="AA347" t="n">
        <v>854</v>
      </c>
      <c r="AB347" t="n">
        <v>5</v>
      </c>
      <c r="AC347" t="n">
        <v>5</v>
      </c>
      <c r="AD347" t="n">
        <v>44</v>
      </c>
      <c r="AE347" t="n">
        <v>44</v>
      </c>
      <c r="AF347" t="n">
        <v>13</v>
      </c>
      <c r="AG347" t="n">
        <v>13</v>
      </c>
      <c r="AH347" t="n">
        <v>8</v>
      </c>
      <c r="AI347" t="n">
        <v>8</v>
      </c>
      <c r="AJ347" t="n">
        <v>20</v>
      </c>
      <c r="AK347" t="n">
        <v>20</v>
      </c>
      <c r="AL347" t="n">
        <v>1</v>
      </c>
      <c r="AM347" t="n">
        <v>1</v>
      </c>
      <c r="AN347" t="n">
        <v>12</v>
      </c>
      <c r="AO347" t="n">
        <v>12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HYPERLINK("https://creighton-primo.hosted.exlibrisgroup.com/primo-explore/search?tab=default_tab&amp;search_scope=EVERYTHING&amp;vid=01CRU&amp;lang=en_US&amp;offset=0&amp;query=any,contains,991001790269702656","Catalog Record")</f>
        <v/>
      </c>
      <c r="AT347">
        <f>HYPERLINK("http://www.worldcat.org/oclc/1266071","WorldCat Record")</f>
        <v/>
      </c>
    </row>
    <row r="348">
      <c r="A348" t="inlineStr">
        <is>
          <t>No</t>
        </is>
      </c>
      <c r="B348" t="inlineStr">
        <is>
          <t>R853.M3 F68 1994</t>
        </is>
      </c>
      <c r="C348" t="inlineStr">
        <is>
          <t>0                      R  0853000M  3                  F  68          1994</t>
        </is>
      </c>
      <c r="D348" t="inlineStr">
        <is>
          <t>Fractals in biology and medicine / T.F. Nonnenmacher, G.A. Losa, E.R. Weibel, editors.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Basel ; Boston : Birkhäuser Verlag, c1994.</t>
        </is>
      </c>
      <c r="M348" t="inlineStr">
        <is>
          <t>1994</t>
        </is>
      </c>
      <c r="O348" t="inlineStr">
        <is>
          <t>eng</t>
        </is>
      </c>
      <c r="P348" t="inlineStr">
        <is>
          <t xml:space="preserve">sz </t>
        </is>
      </c>
      <c r="R348" t="inlineStr">
        <is>
          <t xml:space="preserve">R  </t>
        </is>
      </c>
      <c r="S348" t="n">
        <v>2</v>
      </c>
      <c r="T348" t="n">
        <v>2</v>
      </c>
      <c r="U348" t="inlineStr">
        <is>
          <t>2000-09-28</t>
        </is>
      </c>
      <c r="V348" t="inlineStr">
        <is>
          <t>2000-09-28</t>
        </is>
      </c>
      <c r="W348" t="inlineStr">
        <is>
          <t>1994-12-15</t>
        </is>
      </c>
      <c r="X348" t="inlineStr">
        <is>
          <t>1994-12-15</t>
        </is>
      </c>
      <c r="Y348" t="n">
        <v>163</v>
      </c>
      <c r="Z348" t="n">
        <v>127</v>
      </c>
      <c r="AA348" t="n">
        <v>166</v>
      </c>
      <c r="AB348" t="n">
        <v>3</v>
      </c>
      <c r="AC348" t="n">
        <v>3</v>
      </c>
      <c r="AD348" t="n">
        <v>9</v>
      </c>
      <c r="AE348" t="n">
        <v>11</v>
      </c>
      <c r="AF348" t="n">
        <v>3</v>
      </c>
      <c r="AG348" t="n">
        <v>4</v>
      </c>
      <c r="AH348" t="n">
        <v>4</v>
      </c>
      <c r="AI348" t="n">
        <v>5</v>
      </c>
      <c r="AJ348" t="n">
        <v>4</v>
      </c>
      <c r="AK348" t="n">
        <v>5</v>
      </c>
      <c r="AL348" t="n">
        <v>2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HYPERLINK("https://creighton-primo.hosted.exlibrisgroup.com/primo-explore/search?tab=default_tab&amp;search_scope=EVERYTHING&amp;vid=01CRU&amp;lang=en_US&amp;offset=0&amp;query=any,contains,991002268269702656","Catalog Record")</f>
        <v/>
      </c>
      <c r="AT348">
        <f>HYPERLINK("http://www.worldcat.org/oclc/29428836","WorldCat Record")</f>
        <v/>
      </c>
    </row>
    <row r="349">
      <c r="A349" t="inlineStr">
        <is>
          <t>No</t>
        </is>
      </c>
      <c r="B349" t="inlineStr">
        <is>
          <t>R853.M3 M67 2000</t>
        </is>
      </c>
      <c r="C349" t="inlineStr">
        <is>
          <t>0                      R  0853000M  3                  M  67          2000</t>
        </is>
      </c>
      <c r="D349" t="inlineStr">
        <is>
          <t>Fuzzy mathematics in medicine / John N. Mordeson, Davender S. Malik, Shih-Chuan Cheng.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Mordeson, John N.</t>
        </is>
      </c>
      <c r="L349" t="inlineStr">
        <is>
          <t>Heidelberg ; New York : Physica-Verlag, c2000.</t>
        </is>
      </c>
      <c r="M349" t="inlineStr">
        <is>
          <t>2000</t>
        </is>
      </c>
      <c r="O349" t="inlineStr">
        <is>
          <t>eng</t>
        </is>
      </c>
      <c r="P349" t="inlineStr">
        <is>
          <t xml:space="preserve">gw </t>
        </is>
      </c>
      <c r="Q349" t="inlineStr">
        <is>
          <t>Studies in fuzziness and soft computing, 1434-9922 ; 55</t>
        </is>
      </c>
      <c r="R349" t="inlineStr">
        <is>
          <t xml:space="preserve">R  </t>
        </is>
      </c>
      <c r="S349" t="n">
        <v>14</v>
      </c>
      <c r="T349" t="n">
        <v>14</v>
      </c>
      <c r="U349" t="inlineStr">
        <is>
          <t>2004-04-19</t>
        </is>
      </c>
      <c r="V349" t="inlineStr">
        <is>
          <t>2004-04-19</t>
        </is>
      </c>
      <c r="W349" t="inlineStr">
        <is>
          <t>2001-02-21</t>
        </is>
      </c>
      <c r="X349" t="inlineStr">
        <is>
          <t>2001-02-21</t>
        </is>
      </c>
      <c r="Y349" t="n">
        <v>64</v>
      </c>
      <c r="Z349" t="n">
        <v>41</v>
      </c>
      <c r="AA349" t="n">
        <v>42</v>
      </c>
      <c r="AB349" t="n">
        <v>1</v>
      </c>
      <c r="AC349" t="n">
        <v>1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0</v>
      </c>
      <c r="AM349" t="n">
        <v>0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HYPERLINK("https://creighton-primo.hosted.exlibrisgroup.com/primo-explore/search?tab=default_tab&amp;search_scope=EVERYTHING&amp;vid=01CRU&amp;lang=en_US&amp;offset=0&amp;query=any,contains,991003492239702656","Catalog Record")</f>
        <v/>
      </c>
      <c r="AT349">
        <f>HYPERLINK("http://www.worldcat.org/oclc/45002138","WorldCat Record")</f>
        <v/>
      </c>
    </row>
    <row r="350">
      <c r="A350" t="inlineStr">
        <is>
          <t>No</t>
        </is>
      </c>
      <c r="B350" t="inlineStr">
        <is>
          <t>R853.M3 W38 1996</t>
        </is>
      </c>
      <c r="C350" t="inlineStr">
        <is>
          <t>0                      R  0853000M  3                  W  38          1996</t>
        </is>
      </c>
      <c r="D350" t="inlineStr">
        <is>
          <t>Wavelets in medicine and biology / edited by Akram Aldroubi and Michael Unser.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Boca Raton, Fla. : CRC Press, c1996.</t>
        </is>
      </c>
      <c r="M350" t="inlineStr">
        <is>
          <t>1996</t>
        </is>
      </c>
      <c r="O350" t="inlineStr">
        <is>
          <t>eng</t>
        </is>
      </c>
      <c r="P350" t="inlineStr">
        <is>
          <t>flu</t>
        </is>
      </c>
      <c r="R350" t="inlineStr">
        <is>
          <t xml:space="preserve">R  </t>
        </is>
      </c>
      <c r="S350" t="n">
        <v>1</v>
      </c>
      <c r="T350" t="n">
        <v>1</v>
      </c>
      <c r="U350" t="inlineStr">
        <is>
          <t>2010-10-28</t>
        </is>
      </c>
      <c r="V350" t="inlineStr">
        <is>
          <t>2010-10-28</t>
        </is>
      </c>
      <c r="W350" t="inlineStr">
        <is>
          <t>1996-05-31</t>
        </is>
      </c>
      <c r="X350" t="inlineStr">
        <is>
          <t>1996-05-31</t>
        </is>
      </c>
      <c r="Y350" t="n">
        <v>264</v>
      </c>
      <c r="Z350" t="n">
        <v>180</v>
      </c>
      <c r="AA350" t="n">
        <v>203</v>
      </c>
      <c r="AB350" t="n">
        <v>2</v>
      </c>
      <c r="AC350" t="n">
        <v>2</v>
      </c>
      <c r="AD350" t="n">
        <v>8</v>
      </c>
      <c r="AE350" t="n">
        <v>8</v>
      </c>
      <c r="AF350" t="n">
        <v>2</v>
      </c>
      <c r="AG350" t="n">
        <v>2</v>
      </c>
      <c r="AH350" t="n">
        <v>1</v>
      </c>
      <c r="AI350" t="n">
        <v>1</v>
      </c>
      <c r="AJ350" t="n">
        <v>6</v>
      </c>
      <c r="AK350" t="n">
        <v>6</v>
      </c>
      <c r="AL350" t="n">
        <v>1</v>
      </c>
      <c r="AM350" t="n">
        <v>1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HYPERLINK("https://creighton-primo.hosted.exlibrisgroup.com/primo-explore/search?tab=default_tab&amp;search_scope=EVERYTHING&amp;vid=01CRU&amp;lang=en_US&amp;offset=0&amp;query=any,contains,991002567129702656","Catalog Record")</f>
        <v/>
      </c>
      <c r="AT350">
        <f>HYPERLINK("http://www.worldcat.org/oclc/33359799","WorldCat Record")</f>
        <v/>
      </c>
    </row>
    <row r="351">
      <c r="A351" t="inlineStr">
        <is>
          <t>No</t>
        </is>
      </c>
      <c r="B351" t="inlineStr">
        <is>
          <t>R853.S7 C36 1993</t>
        </is>
      </c>
      <c r="C351" t="inlineStr">
        <is>
          <t>0                      R  0853000S  7                  C  36          1993</t>
        </is>
      </c>
      <c r="D351" t="inlineStr">
        <is>
          <t>Medical statistics : a commonsense approach / Michael J. Campbell and David Machin.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Campbell, Michael J., 1950-</t>
        </is>
      </c>
      <c r="L351" t="inlineStr">
        <is>
          <t>Chichester ; New York : Wiley, c1993.</t>
        </is>
      </c>
      <c r="M351" t="inlineStr">
        <is>
          <t>1993</t>
        </is>
      </c>
      <c r="N351" t="inlineStr">
        <is>
          <t>2nd ed.</t>
        </is>
      </c>
      <c r="O351" t="inlineStr">
        <is>
          <t>eng</t>
        </is>
      </c>
      <c r="P351" t="inlineStr">
        <is>
          <t>enk</t>
        </is>
      </c>
      <c r="R351" t="inlineStr">
        <is>
          <t xml:space="preserve">R  </t>
        </is>
      </c>
      <c r="S351" t="n">
        <v>8</v>
      </c>
      <c r="T351" t="n">
        <v>8</v>
      </c>
      <c r="U351" t="inlineStr">
        <is>
          <t>2004-07-28</t>
        </is>
      </c>
      <c r="V351" t="inlineStr">
        <is>
          <t>2004-07-28</t>
        </is>
      </c>
      <c r="W351" t="inlineStr">
        <is>
          <t>1994-07-27</t>
        </is>
      </c>
      <c r="X351" t="inlineStr">
        <is>
          <t>1994-07-27</t>
        </is>
      </c>
      <c r="Y351" t="n">
        <v>267</v>
      </c>
      <c r="Z351" t="n">
        <v>130</v>
      </c>
      <c r="AA351" t="n">
        <v>277</v>
      </c>
      <c r="AB351" t="n">
        <v>1</v>
      </c>
      <c r="AC351" t="n">
        <v>1</v>
      </c>
      <c r="AD351" t="n">
        <v>3</v>
      </c>
      <c r="AE351" t="n">
        <v>9</v>
      </c>
      <c r="AF351" t="n">
        <v>1</v>
      </c>
      <c r="AG351" t="n">
        <v>2</v>
      </c>
      <c r="AH351" t="n">
        <v>0</v>
      </c>
      <c r="AI351" t="n">
        <v>2</v>
      </c>
      <c r="AJ351" t="n">
        <v>2</v>
      </c>
      <c r="AK351" t="n">
        <v>7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HYPERLINK("http://catalog.hathitrust.org/Record/004547592","HathiTrust Record")</f>
        <v/>
      </c>
      <c r="AS351">
        <f>HYPERLINK("https://creighton-primo.hosted.exlibrisgroup.com/primo-explore/search?tab=default_tab&amp;search_scope=EVERYTHING&amp;vid=01CRU&amp;lang=en_US&amp;offset=0&amp;query=any,contains,991002087129702656","Catalog Record")</f>
        <v/>
      </c>
      <c r="AT351">
        <f>HYPERLINK("http://www.worldcat.org/oclc/26769074","WorldCat Record")</f>
        <v/>
      </c>
    </row>
    <row r="352">
      <c r="A352" t="inlineStr">
        <is>
          <t>No</t>
        </is>
      </c>
      <c r="B352" t="inlineStr">
        <is>
          <t>R853.S7 E88 1994</t>
        </is>
      </c>
      <c r="C352" t="inlineStr">
        <is>
          <t>0                      R  0853000S  7                  E  88          1994</t>
        </is>
      </c>
      <c r="D352" t="inlineStr">
        <is>
          <t>Statistical methods in medical investigations / Brian S Everitt.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Everitt, Brian.</t>
        </is>
      </c>
      <c r="L352" t="inlineStr">
        <is>
          <t>London : E. Arnold ; New York : Halsted Press, c1994.</t>
        </is>
      </c>
      <c r="M352" t="inlineStr">
        <is>
          <t>1994</t>
        </is>
      </c>
      <c r="N352" t="inlineStr">
        <is>
          <t>2nd ed.</t>
        </is>
      </c>
      <c r="O352" t="inlineStr">
        <is>
          <t>eng</t>
        </is>
      </c>
      <c r="P352" t="inlineStr">
        <is>
          <t>enk</t>
        </is>
      </c>
      <c r="R352" t="inlineStr">
        <is>
          <t xml:space="preserve">R  </t>
        </is>
      </c>
      <c r="S352" t="n">
        <v>3</v>
      </c>
      <c r="T352" t="n">
        <v>3</v>
      </c>
      <c r="U352" t="inlineStr">
        <is>
          <t>2004-07-28</t>
        </is>
      </c>
      <c r="V352" t="inlineStr">
        <is>
          <t>2004-07-28</t>
        </is>
      </c>
      <c r="W352" t="inlineStr">
        <is>
          <t>1996-05-28</t>
        </is>
      </c>
      <c r="X352" t="inlineStr">
        <is>
          <t>1996-05-28</t>
        </is>
      </c>
      <c r="Y352" t="n">
        <v>204</v>
      </c>
      <c r="Z352" t="n">
        <v>114</v>
      </c>
      <c r="AA352" t="n">
        <v>114</v>
      </c>
      <c r="AB352" t="n">
        <v>1</v>
      </c>
      <c r="AC352" t="n">
        <v>1</v>
      </c>
      <c r="AD352" t="n">
        <v>1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1</v>
      </c>
      <c r="AL352" t="n">
        <v>0</v>
      </c>
      <c r="AM352" t="n">
        <v>0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HYPERLINK("https://creighton-primo.hosted.exlibrisgroup.com/primo-explore/search?tab=default_tab&amp;search_scope=EVERYTHING&amp;vid=01CRU&amp;lang=en_US&amp;offset=0&amp;query=any,contains,991002319469702656","Catalog Record")</f>
        <v/>
      </c>
      <c r="AT352">
        <f>HYPERLINK("http://www.worldcat.org/oclc/30079085","WorldCat Record")</f>
        <v/>
      </c>
    </row>
    <row r="353">
      <c r="A353" t="inlineStr">
        <is>
          <t>No</t>
        </is>
      </c>
      <c r="B353" t="inlineStr">
        <is>
          <t>R854.U5 A7</t>
        </is>
      </c>
      <c r="C353" t="inlineStr">
        <is>
          <t>0                      R  0854000U  5                  A  7</t>
        </is>
      </c>
      <c r="D353" t="inlineStr">
        <is>
          <t>Medical research : a midcentury survey.</t>
        </is>
      </c>
      <c r="E353" t="inlineStr">
        <is>
          <t>V. 2</t>
        </is>
      </c>
      <c r="F353" t="inlineStr">
        <is>
          <t>Yes</t>
        </is>
      </c>
      <c r="G353" t="inlineStr">
        <is>
          <t>1</t>
        </is>
      </c>
      <c r="H353" t="inlineStr">
        <is>
          <t>Yes</t>
        </is>
      </c>
      <c r="I353" t="inlineStr">
        <is>
          <t>No</t>
        </is>
      </c>
      <c r="J353" t="inlineStr">
        <is>
          <t>0</t>
        </is>
      </c>
      <c r="K353" t="inlineStr">
        <is>
          <t>American Foundation.</t>
        </is>
      </c>
      <c r="L353" t="inlineStr">
        <is>
          <t>Boston : Published for the American Foundation by Little, Brown, [1955]</t>
        </is>
      </c>
      <c r="M353" t="inlineStr">
        <is>
          <t>1955</t>
        </is>
      </c>
      <c r="N353" t="inlineStr">
        <is>
          <t>[1st ed.]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R  </t>
        </is>
      </c>
      <c r="S353" t="n">
        <v>0</v>
      </c>
      <c r="T353" t="n">
        <v>2</v>
      </c>
      <c r="V353" t="inlineStr">
        <is>
          <t>1996-09-26</t>
        </is>
      </c>
      <c r="W353" t="inlineStr">
        <is>
          <t>1995-02-24</t>
        </is>
      </c>
      <c r="X353" t="inlineStr">
        <is>
          <t>1995-02-24</t>
        </is>
      </c>
      <c r="Y353" t="n">
        <v>389</v>
      </c>
      <c r="Z353" t="n">
        <v>340</v>
      </c>
      <c r="AA353" t="n">
        <v>365</v>
      </c>
      <c r="AB353" t="n">
        <v>4</v>
      </c>
      <c r="AC353" t="n">
        <v>4</v>
      </c>
      <c r="AD353" t="n">
        <v>13</v>
      </c>
      <c r="AE353" t="n">
        <v>13</v>
      </c>
      <c r="AF353" t="n">
        <v>4</v>
      </c>
      <c r="AG353" t="n">
        <v>4</v>
      </c>
      <c r="AH353" t="n">
        <v>3</v>
      </c>
      <c r="AI353" t="n">
        <v>3</v>
      </c>
      <c r="AJ353" t="n">
        <v>7</v>
      </c>
      <c r="AK353" t="n">
        <v>7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HYPERLINK("http://catalog.hathitrust.org/Record/004416443","HathiTrust Record")</f>
        <v/>
      </c>
      <c r="AS353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353">
        <f>HYPERLINK("http://www.worldcat.org/oclc/14659796","WorldCat Record")</f>
        <v/>
      </c>
    </row>
    <row r="354">
      <c r="A354" t="inlineStr">
        <is>
          <t>No</t>
        </is>
      </c>
      <c r="B354" t="inlineStr">
        <is>
          <t>R854.U5 A7</t>
        </is>
      </c>
      <c r="C354" t="inlineStr">
        <is>
          <t>0                      R  0854000U  5                  A  7</t>
        </is>
      </c>
      <c r="D354" t="inlineStr">
        <is>
          <t>Medical research : a midcentury survey.</t>
        </is>
      </c>
      <c r="E354" t="inlineStr">
        <is>
          <t>V. 1</t>
        </is>
      </c>
      <c r="F354" t="inlineStr">
        <is>
          <t>Yes</t>
        </is>
      </c>
      <c r="G354" t="inlineStr">
        <is>
          <t>1</t>
        </is>
      </c>
      <c r="H354" t="inlineStr">
        <is>
          <t>Yes</t>
        </is>
      </c>
      <c r="I354" t="inlineStr">
        <is>
          <t>No</t>
        </is>
      </c>
      <c r="J354" t="inlineStr">
        <is>
          <t>0</t>
        </is>
      </c>
      <c r="K354" t="inlineStr">
        <is>
          <t>American Foundation.</t>
        </is>
      </c>
      <c r="L354" t="inlineStr">
        <is>
          <t>Boston : Published for the American Foundation by Little, Brown, [1955]</t>
        </is>
      </c>
      <c r="M354" t="inlineStr">
        <is>
          <t>1955</t>
        </is>
      </c>
      <c r="N354" t="inlineStr">
        <is>
          <t>[1st ed.]</t>
        </is>
      </c>
      <c r="O354" t="inlineStr">
        <is>
          <t>eng</t>
        </is>
      </c>
      <c r="P354" t="inlineStr">
        <is>
          <t>mau</t>
        </is>
      </c>
      <c r="R354" t="inlineStr">
        <is>
          <t xml:space="preserve">R  </t>
        </is>
      </c>
      <c r="S354" t="n">
        <v>2</v>
      </c>
      <c r="T354" t="n">
        <v>2</v>
      </c>
      <c r="U354" t="inlineStr">
        <is>
          <t>1996-09-26</t>
        </is>
      </c>
      <c r="V354" t="inlineStr">
        <is>
          <t>1996-09-26</t>
        </is>
      </c>
      <c r="W354" t="inlineStr">
        <is>
          <t>1995-02-24</t>
        </is>
      </c>
      <c r="X354" t="inlineStr">
        <is>
          <t>1995-02-24</t>
        </is>
      </c>
      <c r="Y354" t="n">
        <v>389</v>
      </c>
      <c r="Z354" t="n">
        <v>340</v>
      </c>
      <c r="AA354" t="n">
        <v>365</v>
      </c>
      <c r="AB354" t="n">
        <v>4</v>
      </c>
      <c r="AC354" t="n">
        <v>4</v>
      </c>
      <c r="AD354" t="n">
        <v>13</v>
      </c>
      <c r="AE354" t="n">
        <v>13</v>
      </c>
      <c r="AF354" t="n">
        <v>4</v>
      </c>
      <c r="AG354" t="n">
        <v>4</v>
      </c>
      <c r="AH354" t="n">
        <v>3</v>
      </c>
      <c r="AI354" t="n">
        <v>3</v>
      </c>
      <c r="AJ354" t="n">
        <v>7</v>
      </c>
      <c r="AK354" t="n">
        <v>7</v>
      </c>
      <c r="AL354" t="n">
        <v>2</v>
      </c>
      <c r="AM354" t="n">
        <v>2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HYPERLINK("http://catalog.hathitrust.org/Record/004416443","HathiTrust Record")</f>
        <v/>
      </c>
      <c r="AS354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354">
        <f>HYPERLINK("http://www.worldcat.org/oclc/14659796","WorldCat Record")</f>
        <v/>
      </c>
    </row>
    <row r="355">
      <c r="A355" t="inlineStr">
        <is>
          <t>No</t>
        </is>
      </c>
      <c r="B355" t="inlineStr">
        <is>
          <t>R854.U5 B525 1992</t>
        </is>
      </c>
      <c r="C355" t="inlineStr">
        <is>
          <t>0                      R  0854000U  5                  B  525         1992</t>
        </is>
      </c>
      <c r="D355" t="inlineStr">
        <is>
          <t>Biomedical research : collaboration and conflict of interest / edited by Roger J. Porter and Thomas E. Malone ; Christopher C. Vaughan, associate editor.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Baltimore : John Hopkins University Press, c1992.</t>
        </is>
      </c>
      <c r="M355" t="inlineStr">
        <is>
          <t>1992</t>
        </is>
      </c>
      <c r="O355" t="inlineStr">
        <is>
          <t>eng</t>
        </is>
      </c>
      <c r="P355" t="inlineStr">
        <is>
          <t>mdu</t>
        </is>
      </c>
      <c r="R355" t="inlineStr">
        <is>
          <t xml:space="preserve">R  </t>
        </is>
      </c>
      <c r="S355" t="n">
        <v>8</v>
      </c>
      <c r="T355" t="n">
        <v>8</v>
      </c>
      <c r="U355" t="inlineStr">
        <is>
          <t>2008-01-19</t>
        </is>
      </c>
      <c r="V355" t="inlineStr">
        <is>
          <t>2008-01-19</t>
        </is>
      </c>
      <c r="W355" t="inlineStr">
        <is>
          <t>1992-11-30</t>
        </is>
      </c>
      <c r="X355" t="inlineStr">
        <is>
          <t>1992-11-30</t>
        </is>
      </c>
      <c r="Y355" t="n">
        <v>322</v>
      </c>
      <c r="Z355" t="n">
        <v>284</v>
      </c>
      <c r="AA355" t="n">
        <v>285</v>
      </c>
      <c r="AB355" t="n">
        <v>1</v>
      </c>
      <c r="AC355" t="n">
        <v>1</v>
      </c>
      <c r="AD355" t="n">
        <v>7</v>
      </c>
      <c r="AE355" t="n">
        <v>7</v>
      </c>
      <c r="AF355" t="n">
        <v>2</v>
      </c>
      <c r="AG355" t="n">
        <v>2</v>
      </c>
      <c r="AH355" t="n">
        <v>2</v>
      </c>
      <c r="AI355" t="n">
        <v>2</v>
      </c>
      <c r="AJ355" t="n">
        <v>5</v>
      </c>
      <c r="AK355" t="n">
        <v>5</v>
      </c>
      <c r="AL355" t="n">
        <v>0</v>
      </c>
      <c r="AM355" t="n">
        <v>0</v>
      </c>
      <c r="AN355" t="n">
        <v>1</v>
      </c>
      <c r="AO355" t="n">
        <v>1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HYPERLINK("https://creighton-primo.hosted.exlibrisgroup.com/primo-explore/search?tab=default_tab&amp;search_scope=EVERYTHING&amp;vid=01CRU&amp;lang=en_US&amp;offset=0&amp;query=any,contains,991001961819702656","Catalog Record")</f>
        <v/>
      </c>
      <c r="AT355">
        <f>HYPERLINK("http://www.worldcat.org/oclc/24848749","WorldCat Record")</f>
        <v/>
      </c>
    </row>
    <row r="356">
      <c r="A356" t="inlineStr">
        <is>
          <t>No</t>
        </is>
      </c>
      <c r="B356" t="inlineStr">
        <is>
          <t>R854.U5 B53</t>
        </is>
      </c>
      <c r="C356" t="inlineStr">
        <is>
          <t>0                      R  0854000U  5                  B  53</t>
        </is>
      </c>
      <c r="D356" t="inlineStr">
        <is>
          <t>Biomedical scientists and public policy / edited by H. Hugh Fudenberg and Viajaya L. Melnick.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New York : Plenum Press, c1978.</t>
        </is>
      </c>
      <c r="M356" t="inlineStr">
        <is>
          <t>1978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R  </t>
        </is>
      </c>
      <c r="S356" t="n">
        <v>4</v>
      </c>
      <c r="T356" t="n">
        <v>4</v>
      </c>
      <c r="U356" t="inlineStr">
        <is>
          <t>1999-11-30</t>
        </is>
      </c>
      <c r="V356" t="inlineStr">
        <is>
          <t>1999-11-30</t>
        </is>
      </c>
      <c r="W356" t="inlineStr">
        <is>
          <t>1992-01-30</t>
        </is>
      </c>
      <c r="X356" t="inlineStr">
        <is>
          <t>1992-01-30</t>
        </is>
      </c>
      <c r="Y356" t="n">
        <v>266</v>
      </c>
      <c r="Z356" t="n">
        <v>212</v>
      </c>
      <c r="AA356" t="n">
        <v>228</v>
      </c>
      <c r="AB356" t="n">
        <v>2</v>
      </c>
      <c r="AC356" t="n">
        <v>2</v>
      </c>
      <c r="AD356" t="n">
        <v>3</v>
      </c>
      <c r="AE356" t="n">
        <v>4</v>
      </c>
      <c r="AF356" t="n">
        <v>0</v>
      </c>
      <c r="AG356" t="n">
        <v>1</v>
      </c>
      <c r="AH356" t="n">
        <v>2</v>
      </c>
      <c r="AI356" t="n">
        <v>2</v>
      </c>
      <c r="AJ356" t="n">
        <v>1</v>
      </c>
      <c r="AK356" t="n">
        <v>2</v>
      </c>
      <c r="AL356" t="n">
        <v>1</v>
      </c>
      <c r="AM356" t="n">
        <v>1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HYPERLINK("http://catalog.hathitrust.org/Record/000179631","HathiTrust Record")</f>
        <v/>
      </c>
      <c r="AS356">
        <f>HYPERLINK("https://creighton-primo.hosted.exlibrisgroup.com/primo-explore/search?tab=default_tab&amp;search_scope=EVERYTHING&amp;vid=01CRU&amp;lang=en_US&amp;offset=0&amp;query=any,contains,991004589829702656","Catalog Record")</f>
        <v/>
      </c>
      <c r="AT356">
        <f>HYPERLINK("http://www.worldcat.org/oclc/4114517","WorldCat Record")</f>
        <v/>
      </c>
    </row>
    <row r="357">
      <c r="A357" t="inlineStr">
        <is>
          <t>No</t>
        </is>
      </c>
      <c r="B357" t="inlineStr">
        <is>
          <t>R854.U5 M3</t>
        </is>
      </c>
      <c r="C357" t="inlineStr">
        <is>
          <t>0                      R  0854000U  5                  M  3</t>
        </is>
      </c>
      <c r="D357" t="inlineStr">
        <is>
          <t>Politics and law in health care policy; a selection of articles from the Milbank Memorial Fund Quarterly. Edited by John M. McKinlay.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McKinlay, John B., compiler.</t>
        </is>
      </c>
      <c r="L357" t="inlineStr">
        <is>
          <t>New York, Published for the Milbank Memorial Fund by Prodist, 1973.</t>
        </is>
      </c>
      <c r="M357" t="inlineStr">
        <is>
          <t>1973</t>
        </is>
      </c>
      <c r="O357" t="inlineStr">
        <is>
          <t>eng</t>
        </is>
      </c>
      <c r="P357" t="inlineStr">
        <is>
          <t>nyu</t>
        </is>
      </c>
      <c r="Q357" t="inlineStr">
        <is>
          <t>Milbank resource books</t>
        </is>
      </c>
      <c r="R357" t="inlineStr">
        <is>
          <t xml:space="preserve">R  </t>
        </is>
      </c>
      <c r="S357" t="n">
        <v>10</v>
      </c>
      <c r="T357" t="n">
        <v>10</v>
      </c>
      <c r="U357" t="inlineStr">
        <is>
          <t>2000-03-23</t>
        </is>
      </c>
      <c r="V357" t="inlineStr">
        <is>
          <t>2000-03-23</t>
        </is>
      </c>
      <c r="W357" t="inlineStr">
        <is>
          <t>1997-08-08</t>
        </is>
      </c>
      <c r="X357" t="inlineStr">
        <is>
          <t>1997-08-08</t>
        </is>
      </c>
      <c r="Y357" t="n">
        <v>241</v>
      </c>
      <c r="Z357" t="n">
        <v>209</v>
      </c>
      <c r="AA357" t="n">
        <v>211</v>
      </c>
      <c r="AB357" t="n">
        <v>2</v>
      </c>
      <c r="AC357" t="n">
        <v>2</v>
      </c>
      <c r="AD357" t="n">
        <v>14</v>
      </c>
      <c r="AE357" t="n">
        <v>14</v>
      </c>
      <c r="AF357" t="n">
        <v>2</v>
      </c>
      <c r="AG357" t="n">
        <v>2</v>
      </c>
      <c r="AH357" t="n">
        <v>3</v>
      </c>
      <c r="AI357" t="n">
        <v>3</v>
      </c>
      <c r="AJ357" t="n">
        <v>3</v>
      </c>
      <c r="AK357" t="n">
        <v>3</v>
      </c>
      <c r="AL357" t="n">
        <v>0</v>
      </c>
      <c r="AM357" t="n">
        <v>0</v>
      </c>
      <c r="AN357" t="n">
        <v>7</v>
      </c>
      <c r="AO357" t="n">
        <v>7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HYPERLINK("http://catalog.hathitrust.org/Record/002078433","HathiTrust Record")</f>
        <v/>
      </c>
      <c r="AS357">
        <f>HYPERLINK("https://creighton-primo.hosted.exlibrisgroup.com/primo-explore/search?tab=default_tab&amp;search_scope=EVERYTHING&amp;vid=01CRU&amp;lang=en_US&amp;offset=0&amp;query=any,contains,991003275029702656","Catalog Record")</f>
        <v/>
      </c>
      <c r="AT357">
        <f>HYPERLINK("http://www.worldcat.org/oclc/799572","WorldCat Record")</f>
        <v/>
      </c>
    </row>
    <row r="358">
      <c r="A358" t="inlineStr">
        <is>
          <t>No</t>
        </is>
      </c>
      <c r="B358" t="inlineStr">
        <is>
          <t>R854.U5 S76</t>
        </is>
      </c>
      <c r="C358" t="inlineStr">
        <is>
          <t>0                      R  0854000U  5                  S  76</t>
        </is>
      </c>
      <c r="D358" t="inlineStr">
        <is>
          <t>Politics, science, and dread disease : a short history of United States medical research policy / [by] Stephen P. Strickland.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Strickland, Stephen P. (Stephen Parks)</t>
        </is>
      </c>
      <c r="L358" t="inlineStr">
        <is>
          <t>Cambridge, Mass. : Harvard University Press, 1972.</t>
        </is>
      </c>
      <c r="M358" t="inlineStr">
        <is>
          <t>1972</t>
        </is>
      </c>
      <c r="O358" t="inlineStr">
        <is>
          <t>eng</t>
        </is>
      </c>
      <c r="P358" t="inlineStr">
        <is>
          <t>mau</t>
        </is>
      </c>
      <c r="R358" t="inlineStr">
        <is>
          <t xml:space="preserve">R  </t>
        </is>
      </c>
      <c r="S358" t="n">
        <v>1</v>
      </c>
      <c r="T358" t="n">
        <v>1</v>
      </c>
      <c r="U358" t="inlineStr">
        <is>
          <t>1992-02-09</t>
        </is>
      </c>
      <c r="V358" t="inlineStr">
        <is>
          <t>1992-02-09</t>
        </is>
      </c>
      <c r="W358" t="inlineStr">
        <is>
          <t>1992-01-14</t>
        </is>
      </c>
      <c r="X358" t="inlineStr">
        <is>
          <t>1992-01-14</t>
        </is>
      </c>
      <c r="Y358" t="n">
        <v>538</v>
      </c>
      <c r="Z358" t="n">
        <v>477</v>
      </c>
      <c r="AA358" t="n">
        <v>480</v>
      </c>
      <c r="AB358" t="n">
        <v>1</v>
      </c>
      <c r="AC358" t="n">
        <v>1</v>
      </c>
      <c r="AD358" t="n">
        <v>15</v>
      </c>
      <c r="AE358" t="n">
        <v>15</v>
      </c>
      <c r="AF358" t="n">
        <v>3</v>
      </c>
      <c r="AG358" t="n">
        <v>3</v>
      </c>
      <c r="AH358" t="n">
        <v>7</v>
      </c>
      <c r="AI358" t="n">
        <v>7</v>
      </c>
      <c r="AJ358" t="n">
        <v>8</v>
      </c>
      <c r="AK358" t="n">
        <v>8</v>
      </c>
      <c r="AL358" t="n">
        <v>0</v>
      </c>
      <c r="AM358" t="n">
        <v>0</v>
      </c>
      <c r="AN358" t="n">
        <v>1</v>
      </c>
      <c r="AO358" t="n">
        <v>1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HYPERLINK("http://catalog.hathitrust.org/Record/000006779","HathiTrust Record")</f>
        <v/>
      </c>
      <c r="AS358">
        <f>HYPERLINK("https://creighton-primo.hosted.exlibrisgroup.com/primo-explore/search?tab=default_tab&amp;search_scope=EVERYTHING&amp;vid=01CRU&amp;lang=en_US&amp;offset=0&amp;query=any,contains,991002885779702656","Catalog Record")</f>
        <v/>
      </c>
      <c r="AT358">
        <f>HYPERLINK("http://www.worldcat.org/oclc/508260","WorldCat Record")</f>
        <v/>
      </c>
    </row>
    <row r="359">
      <c r="A359" t="inlineStr">
        <is>
          <t>No</t>
        </is>
      </c>
      <c r="B359" t="inlineStr">
        <is>
          <t>R856 .G4 1975</t>
        </is>
      </c>
      <c r="C359" t="inlineStr">
        <is>
          <t>0                      R  0856000G  4           1975</t>
        </is>
      </c>
      <c r="D359" t="inlineStr">
        <is>
          <t>Principles of applied biomedical instrumentation / L. A. Geddes, L. E. Baker.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Yes</t>
        </is>
      </c>
      <c r="J359" t="inlineStr">
        <is>
          <t>0</t>
        </is>
      </c>
      <c r="K359" t="inlineStr">
        <is>
          <t>Geddes, L. A. (Leslie Alexander), 1921-</t>
        </is>
      </c>
      <c r="L359" t="inlineStr">
        <is>
          <t>New York : Wiley, [1975]</t>
        </is>
      </c>
      <c r="M359" t="inlineStr">
        <is>
          <t>1975</t>
        </is>
      </c>
      <c r="N359" t="inlineStr">
        <is>
          <t>2d ed.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R  </t>
        </is>
      </c>
      <c r="S359" t="n">
        <v>4</v>
      </c>
      <c r="T359" t="n">
        <v>4</v>
      </c>
      <c r="U359" t="inlineStr">
        <is>
          <t>2002-05-28</t>
        </is>
      </c>
      <c r="V359" t="inlineStr">
        <is>
          <t>2002-05-28</t>
        </is>
      </c>
      <c r="W359" t="inlineStr">
        <is>
          <t>1990-11-19</t>
        </is>
      </c>
      <c r="X359" t="inlineStr">
        <is>
          <t>1990-11-19</t>
        </is>
      </c>
      <c r="Y359" t="n">
        <v>378</v>
      </c>
      <c r="Z359" t="n">
        <v>298</v>
      </c>
      <c r="AA359" t="n">
        <v>523</v>
      </c>
      <c r="AB359" t="n">
        <v>1</v>
      </c>
      <c r="AC359" t="n">
        <v>4</v>
      </c>
      <c r="AD359" t="n">
        <v>6</v>
      </c>
      <c r="AE359" t="n">
        <v>14</v>
      </c>
      <c r="AF359" t="n">
        <v>1</v>
      </c>
      <c r="AG359" t="n">
        <v>3</v>
      </c>
      <c r="AH359" t="n">
        <v>3</v>
      </c>
      <c r="AI359" t="n">
        <v>5</v>
      </c>
      <c r="AJ359" t="n">
        <v>5</v>
      </c>
      <c r="AK359" t="n">
        <v>8</v>
      </c>
      <c r="AL359" t="n">
        <v>0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HYPERLINK("http://catalog.hathitrust.org/Record/000024210","HathiTrust Record")</f>
        <v/>
      </c>
      <c r="AS359">
        <f>HYPERLINK("https://creighton-primo.hosted.exlibrisgroup.com/primo-explore/search?tab=default_tab&amp;search_scope=EVERYTHING&amp;vid=01CRU&amp;lang=en_US&amp;offset=0&amp;query=any,contains,991003845179702656","Catalog Record")</f>
        <v/>
      </c>
      <c r="AT359">
        <f>HYPERLINK("http://www.worldcat.org/oclc/1628209","WorldCat Record")</f>
        <v/>
      </c>
    </row>
    <row r="360">
      <c r="A360" t="inlineStr">
        <is>
          <t>No</t>
        </is>
      </c>
      <c r="B360" t="inlineStr">
        <is>
          <t>R856 .M376</t>
        </is>
      </c>
      <c r="C360" t="inlineStr">
        <is>
          <t>0                      R  0856000M  376</t>
        </is>
      </c>
      <c r="D360" t="inlineStr">
        <is>
          <t>Medical instrumentation : application and design / John G. Webster, editor ; contributing authors, John W. Clark ... [et al.].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Yes</t>
        </is>
      </c>
      <c r="J360" t="inlineStr">
        <is>
          <t>0</t>
        </is>
      </c>
      <c r="L360" t="inlineStr">
        <is>
          <t>Boston : Houghton Mifflin, c1978.</t>
        </is>
      </c>
      <c r="M360" t="inlineStr">
        <is>
          <t>1978</t>
        </is>
      </c>
      <c r="O360" t="inlineStr">
        <is>
          <t>eng</t>
        </is>
      </c>
      <c r="P360" t="inlineStr">
        <is>
          <t>mau</t>
        </is>
      </c>
      <c r="R360" t="inlineStr">
        <is>
          <t xml:space="preserve">R  </t>
        </is>
      </c>
      <c r="S360" t="n">
        <v>3</v>
      </c>
      <c r="T360" t="n">
        <v>3</v>
      </c>
      <c r="U360" t="inlineStr">
        <is>
          <t>2002-05-28</t>
        </is>
      </c>
      <c r="V360" t="inlineStr">
        <is>
          <t>2002-05-28</t>
        </is>
      </c>
      <c r="W360" t="inlineStr">
        <is>
          <t>1992-02-06</t>
        </is>
      </c>
      <c r="X360" t="inlineStr">
        <is>
          <t>1992-02-06</t>
        </is>
      </c>
      <c r="Y360" t="n">
        <v>285</v>
      </c>
      <c r="Z360" t="n">
        <v>193</v>
      </c>
      <c r="AA360" t="n">
        <v>428</v>
      </c>
      <c r="AB360" t="n">
        <v>2</v>
      </c>
      <c r="AC360" t="n">
        <v>3</v>
      </c>
      <c r="AD360" t="n">
        <v>4</v>
      </c>
      <c r="AE360" t="n">
        <v>14</v>
      </c>
      <c r="AF360" t="n">
        <v>1</v>
      </c>
      <c r="AG360" t="n">
        <v>5</v>
      </c>
      <c r="AH360" t="n">
        <v>3</v>
      </c>
      <c r="AI360" t="n">
        <v>4</v>
      </c>
      <c r="AJ360" t="n">
        <v>1</v>
      </c>
      <c r="AK360" t="n">
        <v>8</v>
      </c>
      <c r="AL360" t="n">
        <v>1</v>
      </c>
      <c r="AM360" t="n">
        <v>1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HYPERLINK("http://catalog.hathitrust.org/Record/000487448","HathiTrust Record")</f>
        <v/>
      </c>
      <c r="AS360">
        <f>HYPERLINK("https://creighton-primo.hosted.exlibrisgroup.com/primo-explore/search?tab=default_tab&amp;search_scope=EVERYTHING&amp;vid=01CRU&amp;lang=en_US&amp;offset=0&amp;query=any,contains,991004514559702656","Catalog Record")</f>
        <v/>
      </c>
      <c r="AT360">
        <f>HYPERLINK("http://www.worldcat.org/oclc/3779717","WorldCat Record")</f>
        <v/>
      </c>
    </row>
    <row r="361">
      <c r="A361" t="inlineStr">
        <is>
          <t>No</t>
        </is>
      </c>
      <c r="B361" t="inlineStr">
        <is>
          <t>R857.B54 E35 1996</t>
        </is>
      </c>
      <c r="C361" t="inlineStr">
        <is>
          <t>0                      R  0857000B  54                 E  35          1996</t>
        </is>
      </c>
      <c r="D361" t="inlineStr">
        <is>
          <t>Biosensors : an introduction / Brian R. Eggins.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Eggins, Brian R.</t>
        </is>
      </c>
      <c r="L361" t="inlineStr">
        <is>
          <t>Chichester ; New York : Wiley-Teubner, c1996.</t>
        </is>
      </c>
      <c r="M361" t="inlineStr">
        <is>
          <t>1996</t>
        </is>
      </c>
      <c r="O361" t="inlineStr">
        <is>
          <t>eng</t>
        </is>
      </c>
      <c r="P361" t="inlineStr">
        <is>
          <t>enk</t>
        </is>
      </c>
      <c r="R361" t="inlineStr">
        <is>
          <t xml:space="preserve">R  </t>
        </is>
      </c>
      <c r="S361" t="n">
        <v>1</v>
      </c>
      <c r="T361" t="n">
        <v>1</v>
      </c>
      <c r="U361" t="inlineStr">
        <is>
          <t>2004-04-02</t>
        </is>
      </c>
      <c r="V361" t="inlineStr">
        <is>
          <t>2004-04-02</t>
        </is>
      </c>
      <c r="W361" t="inlineStr">
        <is>
          <t>1997-03-13</t>
        </is>
      </c>
      <c r="X361" t="inlineStr">
        <is>
          <t>1997-03-13</t>
        </is>
      </c>
      <c r="Y361" t="n">
        <v>305</v>
      </c>
      <c r="Z361" t="n">
        <v>177</v>
      </c>
      <c r="AA361" t="n">
        <v>199</v>
      </c>
      <c r="AB361" t="n">
        <v>1</v>
      </c>
      <c r="AC361" t="n">
        <v>1</v>
      </c>
      <c r="AD361" t="n">
        <v>7</v>
      </c>
      <c r="AE361" t="n">
        <v>7</v>
      </c>
      <c r="AF361" t="n">
        <v>2</v>
      </c>
      <c r="AG361" t="n">
        <v>2</v>
      </c>
      <c r="AH361" t="n">
        <v>3</v>
      </c>
      <c r="AI361" t="n">
        <v>3</v>
      </c>
      <c r="AJ361" t="n">
        <v>6</v>
      </c>
      <c r="AK361" t="n">
        <v>6</v>
      </c>
      <c r="AL361" t="n">
        <v>0</v>
      </c>
      <c r="AM361" t="n">
        <v>0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HYPERLINK("http://catalog.hathitrust.org/Record/003069807","HathiTrust Record")</f>
        <v/>
      </c>
      <c r="AS361">
        <f>HYPERLINK("https://creighton-primo.hosted.exlibrisgroup.com/primo-explore/search?tab=default_tab&amp;search_scope=EVERYTHING&amp;vid=01CRU&amp;lang=en_US&amp;offset=0&amp;query=any,contains,991002544669702656","Catalog Record")</f>
        <v/>
      </c>
      <c r="AT361">
        <f>HYPERLINK("http://www.worldcat.org/oclc/33078157","WorldCat Record")</f>
        <v/>
      </c>
    </row>
    <row r="362">
      <c r="A362" t="inlineStr">
        <is>
          <t>No</t>
        </is>
      </c>
      <c r="B362" t="inlineStr">
        <is>
          <t>R857.B54 S65 2007</t>
        </is>
      </c>
      <c r="C362" t="inlineStr">
        <is>
          <t>0                      R  0857000B  54                 S  65          2007</t>
        </is>
      </c>
      <c r="D362" t="inlineStr">
        <is>
          <t>An introduction to biomedical optics / R. Splinter, B.A. Hooper.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Splinter, Robert.</t>
        </is>
      </c>
      <c r="L362" t="inlineStr">
        <is>
          <t>New York : Taylor &amp; Francis, c2007.</t>
        </is>
      </c>
      <c r="M362" t="inlineStr">
        <is>
          <t>2007</t>
        </is>
      </c>
      <c r="O362" t="inlineStr">
        <is>
          <t>eng</t>
        </is>
      </c>
      <c r="P362" t="inlineStr">
        <is>
          <t>nyu</t>
        </is>
      </c>
      <c r="Q362" t="inlineStr">
        <is>
          <t>Series in optics and optoelectronics</t>
        </is>
      </c>
      <c r="R362" t="inlineStr">
        <is>
          <t xml:space="preserve">R  </t>
        </is>
      </c>
      <c r="S362" t="n">
        <v>1</v>
      </c>
      <c r="T362" t="n">
        <v>1</v>
      </c>
      <c r="U362" t="inlineStr">
        <is>
          <t>2007-04-02</t>
        </is>
      </c>
      <c r="V362" t="inlineStr">
        <is>
          <t>2007-04-02</t>
        </is>
      </c>
      <c r="W362" t="inlineStr">
        <is>
          <t>2007-04-02</t>
        </is>
      </c>
      <c r="X362" t="inlineStr">
        <is>
          <t>2007-04-02</t>
        </is>
      </c>
      <c r="Y362" t="n">
        <v>198</v>
      </c>
      <c r="Z362" t="n">
        <v>110</v>
      </c>
      <c r="AA362" t="n">
        <v>135</v>
      </c>
      <c r="AB362" t="n">
        <v>1</v>
      </c>
      <c r="AC362" t="n">
        <v>1</v>
      </c>
      <c r="AD362" t="n">
        <v>3</v>
      </c>
      <c r="AE362" t="n">
        <v>3</v>
      </c>
      <c r="AF362" t="n">
        <v>1</v>
      </c>
      <c r="AG362" t="n">
        <v>1</v>
      </c>
      <c r="AH362" t="n">
        <v>1</v>
      </c>
      <c r="AI362" t="n">
        <v>1</v>
      </c>
      <c r="AJ362" t="n">
        <v>3</v>
      </c>
      <c r="AK362" t="n">
        <v>3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HYPERLINK("https://creighton-primo.hosted.exlibrisgroup.com/primo-explore/search?tab=default_tab&amp;search_scope=EVERYTHING&amp;vid=01CRU&amp;lang=en_US&amp;offset=0&amp;query=any,contains,991005060999702656","Catalog Record")</f>
        <v/>
      </c>
      <c r="AT362">
        <f>HYPERLINK("http://www.worldcat.org/oclc/70874166","WorldCat Record")</f>
        <v/>
      </c>
    </row>
    <row r="363">
      <c r="A363" t="inlineStr">
        <is>
          <t>No</t>
        </is>
      </c>
      <c r="B363" t="inlineStr">
        <is>
          <t>R857.O6 B556 2004</t>
        </is>
      </c>
      <c r="C363" t="inlineStr">
        <is>
          <t>0                      R  0857000O  6                  B  556         2004</t>
        </is>
      </c>
      <c r="D363" t="inlineStr">
        <is>
          <t>Biological imaging and sensing / T. Furukawa, (ed.)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L363" t="inlineStr">
        <is>
          <t>Berlin : Springer, 2004.</t>
        </is>
      </c>
      <c r="M363" t="inlineStr">
        <is>
          <t>2004</t>
        </is>
      </c>
      <c r="O363" t="inlineStr">
        <is>
          <t>eng</t>
        </is>
      </c>
      <c r="P363" t="inlineStr">
        <is>
          <t xml:space="preserve">gw </t>
        </is>
      </c>
      <c r="Q363" t="inlineStr">
        <is>
          <t>Biological and medical physics, biomedical engineering, 1618-7210</t>
        </is>
      </c>
      <c r="R363" t="inlineStr">
        <is>
          <t xml:space="preserve">R  </t>
        </is>
      </c>
      <c r="S363" t="n">
        <v>1</v>
      </c>
      <c r="T363" t="n">
        <v>1</v>
      </c>
      <c r="U363" t="inlineStr">
        <is>
          <t>2004-08-09</t>
        </is>
      </c>
      <c r="V363" t="inlineStr">
        <is>
          <t>2004-08-09</t>
        </is>
      </c>
      <c r="W363" t="inlineStr">
        <is>
          <t>2004-08-09</t>
        </is>
      </c>
      <c r="X363" t="inlineStr">
        <is>
          <t>2004-08-09</t>
        </is>
      </c>
      <c r="Y363" t="n">
        <v>160</v>
      </c>
      <c r="Z363" t="n">
        <v>96</v>
      </c>
      <c r="AA363" t="n">
        <v>119</v>
      </c>
      <c r="AB363" t="n">
        <v>1</v>
      </c>
      <c r="AC363" t="n">
        <v>1</v>
      </c>
      <c r="AD363" t="n">
        <v>1</v>
      </c>
      <c r="AE363" t="n">
        <v>3</v>
      </c>
      <c r="AF363" t="n">
        <v>0</v>
      </c>
      <c r="AG363" t="n">
        <v>1</v>
      </c>
      <c r="AH363" t="n">
        <v>1</v>
      </c>
      <c r="AI363" t="n">
        <v>2</v>
      </c>
      <c r="AJ363" t="n">
        <v>1</v>
      </c>
      <c r="AK363" t="n">
        <v>2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HYPERLINK("https://creighton-primo.hosted.exlibrisgroup.com/primo-explore/search?tab=default_tab&amp;search_scope=EVERYTHING&amp;vid=01CRU&amp;lang=en_US&amp;offset=0&amp;query=any,contains,991004320099702656","Catalog Record")</f>
        <v/>
      </c>
      <c r="AT363">
        <f>HYPERLINK("http://www.worldcat.org/oclc/50479266","WorldCat Record")</f>
        <v/>
      </c>
    </row>
    <row r="364">
      <c r="A364" t="inlineStr">
        <is>
          <t>No</t>
        </is>
      </c>
      <c r="B364" t="inlineStr">
        <is>
          <t>R858 .M375 1999</t>
        </is>
      </c>
      <c r="C364" t="inlineStr">
        <is>
          <t>0                      R  0858000M  375         1999</t>
        </is>
      </c>
      <c r="D364" t="inlineStr">
        <is>
          <t>Information management in health care / Richard D. Marreel, Janet M. McLellan.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Marreel, Richard D.</t>
        </is>
      </c>
      <c r="L364" t="inlineStr">
        <is>
          <t>Albany, N.Y. : Delmar Publishers, c1999.</t>
        </is>
      </c>
      <c r="M364" t="inlineStr">
        <is>
          <t>1999</t>
        </is>
      </c>
      <c r="O364" t="inlineStr">
        <is>
          <t>eng</t>
        </is>
      </c>
      <c r="P364" t="inlineStr">
        <is>
          <t>nyu</t>
        </is>
      </c>
      <c r="R364" t="inlineStr">
        <is>
          <t xml:space="preserve">R  </t>
        </is>
      </c>
      <c r="S364" t="n">
        <v>1</v>
      </c>
      <c r="T364" t="n">
        <v>1</v>
      </c>
      <c r="U364" t="inlineStr">
        <is>
          <t>2004-11-01</t>
        </is>
      </c>
      <c r="V364" t="inlineStr">
        <is>
          <t>2004-11-01</t>
        </is>
      </c>
      <c r="W364" t="inlineStr">
        <is>
          <t>2000-03-23</t>
        </is>
      </c>
      <c r="X364" t="inlineStr">
        <is>
          <t>2000-03-23</t>
        </is>
      </c>
      <c r="Y364" t="n">
        <v>73</v>
      </c>
      <c r="Z364" t="n">
        <v>61</v>
      </c>
      <c r="AA364" t="n">
        <v>237</v>
      </c>
      <c r="AB364" t="n">
        <v>1</v>
      </c>
      <c r="AC364" t="n">
        <v>1</v>
      </c>
      <c r="AD364" t="n">
        <v>2</v>
      </c>
      <c r="AE364" t="n">
        <v>4</v>
      </c>
      <c r="AF364" t="n">
        <v>1</v>
      </c>
      <c r="AG364" t="n">
        <v>2</v>
      </c>
      <c r="AH364" t="n">
        <v>0</v>
      </c>
      <c r="AI364" t="n">
        <v>0</v>
      </c>
      <c r="AJ364" t="n">
        <v>1</v>
      </c>
      <c r="AK364" t="n">
        <v>2</v>
      </c>
      <c r="AL364" t="n">
        <v>0</v>
      </c>
      <c r="AM364" t="n">
        <v>0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HYPERLINK("https://creighton-primo.hosted.exlibrisgroup.com/primo-explore/search?tab=default_tab&amp;search_scope=EVERYTHING&amp;vid=01CRU&amp;lang=en_US&amp;offset=0&amp;query=any,contains,991002990809702656","Catalog Record")</f>
        <v/>
      </c>
      <c r="AT364">
        <f>HYPERLINK("http://www.worldcat.org/oclc/40359460","WorldCat Record")</f>
        <v/>
      </c>
    </row>
    <row r="365">
      <c r="A365" t="inlineStr">
        <is>
          <t>No</t>
        </is>
      </c>
      <c r="B365" t="inlineStr">
        <is>
          <t>R859.7.A78 C65 2002</t>
        </is>
      </c>
      <c r="C365" t="inlineStr">
        <is>
          <t>0                      R  0859700A  78                 C  65          2002</t>
        </is>
      </c>
      <c r="D365" t="inlineStr">
        <is>
          <t>Computational intelligence processing in medical diagnosis / Manfred Schmitt ... [et al.], editors.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L365" t="inlineStr">
        <is>
          <t>Heidelberg ; New York : Physica-Verlag, c2002.</t>
        </is>
      </c>
      <c r="M365" t="inlineStr">
        <is>
          <t>2002</t>
        </is>
      </c>
      <c r="O365" t="inlineStr">
        <is>
          <t>eng</t>
        </is>
      </c>
      <c r="P365" t="inlineStr">
        <is>
          <t xml:space="preserve">gw </t>
        </is>
      </c>
      <c r="Q365" t="inlineStr">
        <is>
          <t>Studies in fuzziness and soft computing, 1434-9922 ; 96</t>
        </is>
      </c>
      <c r="R365" t="inlineStr">
        <is>
          <t xml:space="preserve">R  </t>
        </is>
      </c>
      <c r="S365" t="n">
        <v>3</v>
      </c>
      <c r="T365" t="n">
        <v>3</v>
      </c>
      <c r="U365" t="inlineStr">
        <is>
          <t>2002-10-08</t>
        </is>
      </c>
      <c r="V365" t="inlineStr">
        <is>
          <t>2002-10-08</t>
        </is>
      </c>
      <c r="W365" t="inlineStr">
        <is>
          <t>2002-06-12</t>
        </is>
      </c>
      <c r="X365" t="inlineStr">
        <is>
          <t>2002-06-12</t>
        </is>
      </c>
      <c r="Y365" t="n">
        <v>57</v>
      </c>
      <c r="Z365" t="n">
        <v>35</v>
      </c>
      <c r="AA365" t="n">
        <v>75</v>
      </c>
      <c r="AB365" t="n">
        <v>1</v>
      </c>
      <c r="AC365" t="n">
        <v>1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1</v>
      </c>
      <c r="AL365" t="n">
        <v>0</v>
      </c>
      <c r="AM365" t="n">
        <v>0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HYPERLINK("https://creighton-primo.hosted.exlibrisgroup.com/primo-explore/search?tab=default_tab&amp;search_scope=EVERYTHING&amp;vid=01CRU&amp;lang=en_US&amp;offset=0&amp;query=any,contains,991003771189702656","Catalog Record")</f>
        <v/>
      </c>
      <c r="AT365">
        <f>HYPERLINK("http://www.worldcat.org/oclc/49260095","WorldCat Record")</f>
        <v/>
      </c>
    </row>
    <row r="366">
      <c r="A366" t="inlineStr">
        <is>
          <t>No</t>
        </is>
      </c>
      <c r="B366" t="inlineStr">
        <is>
          <t>R859.7.E43 G65 2000</t>
        </is>
      </c>
      <c r="C366" t="inlineStr">
        <is>
          <t>0                      R  0859700E  43                 G  65          2000</t>
        </is>
      </c>
      <c r="D366" t="inlineStr">
        <is>
          <t>E-healthcare : harness the power of internet e-commerce &amp; e-care / Douglas Goldstein.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Goldstein, Douglas E.</t>
        </is>
      </c>
      <c r="L366" t="inlineStr">
        <is>
          <t>Gaithersburg, MD : Aspen Publishers, 2000.</t>
        </is>
      </c>
      <c r="M366" t="inlineStr">
        <is>
          <t>2000</t>
        </is>
      </c>
      <c r="O366" t="inlineStr">
        <is>
          <t>eng</t>
        </is>
      </c>
      <c r="P366" t="inlineStr">
        <is>
          <t>mdu</t>
        </is>
      </c>
      <c r="R366" t="inlineStr">
        <is>
          <t xml:space="preserve">R  </t>
        </is>
      </c>
      <c r="S366" t="n">
        <v>4</v>
      </c>
      <c r="T366" t="n">
        <v>4</v>
      </c>
      <c r="U366" t="inlineStr">
        <is>
          <t>2008-04-16</t>
        </is>
      </c>
      <c r="V366" t="inlineStr">
        <is>
          <t>2008-04-16</t>
        </is>
      </c>
      <c r="W366" t="inlineStr">
        <is>
          <t>2002-03-05</t>
        </is>
      </c>
      <c r="X366" t="inlineStr">
        <is>
          <t>2002-03-05</t>
        </is>
      </c>
      <c r="Y366" t="n">
        <v>211</v>
      </c>
      <c r="Z366" t="n">
        <v>170</v>
      </c>
      <c r="AA366" t="n">
        <v>177</v>
      </c>
      <c r="AB366" t="n">
        <v>1</v>
      </c>
      <c r="AC366" t="n">
        <v>1</v>
      </c>
      <c r="AD366" t="n">
        <v>10</v>
      </c>
      <c r="AE366" t="n">
        <v>10</v>
      </c>
      <c r="AF366" t="n">
        <v>1</v>
      </c>
      <c r="AG366" t="n">
        <v>1</v>
      </c>
      <c r="AH366" t="n">
        <v>5</v>
      </c>
      <c r="AI366" t="n">
        <v>5</v>
      </c>
      <c r="AJ366" t="n">
        <v>5</v>
      </c>
      <c r="AK366" t="n">
        <v>5</v>
      </c>
      <c r="AL366" t="n">
        <v>0</v>
      </c>
      <c r="AM366" t="n">
        <v>0</v>
      </c>
      <c r="AN366" t="n">
        <v>2</v>
      </c>
      <c r="AO366" t="n">
        <v>2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HYPERLINK("http://catalog.hathitrust.org/Record/004081864","HathiTrust Record")</f>
        <v/>
      </c>
      <c r="AS366">
        <f>HYPERLINK("https://creighton-primo.hosted.exlibrisgroup.com/primo-explore/search?tab=default_tab&amp;search_scope=EVERYTHING&amp;vid=01CRU&amp;lang=en_US&amp;offset=0&amp;query=any,contains,991003727439702656","Catalog Record")</f>
        <v/>
      </c>
      <c r="AT366">
        <f>HYPERLINK("http://www.worldcat.org/oclc/42889750","WorldCat Record")</f>
        <v/>
      </c>
    </row>
    <row r="367">
      <c r="A367" t="inlineStr">
        <is>
          <t>No</t>
        </is>
      </c>
      <c r="B367" t="inlineStr">
        <is>
          <t>R895 .A5</t>
        </is>
      </c>
      <c r="C367" t="inlineStr">
        <is>
          <t>0                      R  0895000A  5</t>
        </is>
      </c>
      <c r="D367" t="inlineStr">
        <is>
          <t>Radiation biophysics.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Andrews, Howard Lucius, 1906-</t>
        </is>
      </c>
      <c r="L367" t="inlineStr">
        <is>
          <t>Englewood Cliffs, N.J., Prentice-Hall, 1961.</t>
        </is>
      </c>
      <c r="M367" t="inlineStr">
        <is>
          <t>1961</t>
        </is>
      </c>
      <c r="O367" t="inlineStr">
        <is>
          <t>eng</t>
        </is>
      </c>
      <c r="P367" t="inlineStr">
        <is>
          <t>nju</t>
        </is>
      </c>
      <c r="R367" t="inlineStr">
        <is>
          <t xml:space="preserve">R  </t>
        </is>
      </c>
      <c r="S367" t="n">
        <v>9</v>
      </c>
      <c r="T367" t="n">
        <v>9</v>
      </c>
      <c r="U367" t="inlineStr">
        <is>
          <t>2003-04-28</t>
        </is>
      </c>
      <c r="V367" t="inlineStr">
        <is>
          <t>2003-04-28</t>
        </is>
      </c>
      <c r="W367" t="inlineStr">
        <is>
          <t>1997-08-08</t>
        </is>
      </c>
      <c r="X367" t="inlineStr">
        <is>
          <t>1997-08-08</t>
        </is>
      </c>
      <c r="Y367" t="n">
        <v>364</v>
      </c>
      <c r="Z367" t="n">
        <v>299</v>
      </c>
      <c r="AA367" t="n">
        <v>426</v>
      </c>
      <c r="AB367" t="n">
        <v>3</v>
      </c>
      <c r="AC367" t="n">
        <v>4</v>
      </c>
      <c r="AD367" t="n">
        <v>11</v>
      </c>
      <c r="AE367" t="n">
        <v>14</v>
      </c>
      <c r="AF367" t="n">
        <v>4</v>
      </c>
      <c r="AG367" t="n">
        <v>4</v>
      </c>
      <c r="AH367" t="n">
        <v>2</v>
      </c>
      <c r="AI367" t="n">
        <v>2</v>
      </c>
      <c r="AJ367" t="n">
        <v>7</v>
      </c>
      <c r="AK367" t="n">
        <v>9</v>
      </c>
      <c r="AL367" t="n">
        <v>2</v>
      </c>
      <c r="AM367" t="n">
        <v>3</v>
      </c>
      <c r="AN367" t="n">
        <v>0</v>
      </c>
      <c r="AO367" t="n">
        <v>0</v>
      </c>
      <c r="AP367" t="inlineStr">
        <is>
          <t>Yes</t>
        </is>
      </c>
      <c r="AQ367" t="inlineStr">
        <is>
          <t>No</t>
        </is>
      </c>
      <c r="AR367">
        <f>HYPERLINK("http://catalog.hathitrust.org/Record/002079077","HathiTrust Record")</f>
        <v/>
      </c>
      <c r="AS367">
        <f>HYPERLINK("https://creighton-primo.hosted.exlibrisgroup.com/primo-explore/search?tab=default_tab&amp;search_scope=EVERYTHING&amp;vid=01CRU&amp;lang=en_US&amp;offset=0&amp;query=any,contains,991005356129702656","Catalog Record")</f>
        <v/>
      </c>
      <c r="AT367">
        <f>HYPERLINK("http://www.worldcat.org/oclc/642424","WorldCat Record")</f>
        <v/>
      </c>
    </row>
    <row r="368">
      <c r="A368" t="inlineStr">
        <is>
          <t>No</t>
        </is>
      </c>
      <c r="B368" t="inlineStr">
        <is>
          <t>R895 .C28 1999</t>
        </is>
      </c>
      <c r="C368" t="inlineStr">
        <is>
          <t>0                      R  0895000C  28          1999</t>
        </is>
      </c>
      <c r="D368" t="inlineStr">
        <is>
          <t>Physics of the body / John R. Cameron, James G. Skofronick, Roderick M. Grant.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Cameron, J. R. (John Roderick), 1922-2005.</t>
        </is>
      </c>
      <c r="L368" t="inlineStr">
        <is>
          <t>Madison, Wis. : Medical Physics Pub., 1999.</t>
        </is>
      </c>
      <c r="M368" t="inlineStr">
        <is>
          <t>1999</t>
        </is>
      </c>
      <c r="N368" t="inlineStr">
        <is>
          <t>2nd ed.</t>
        </is>
      </c>
      <c r="O368" t="inlineStr">
        <is>
          <t>eng</t>
        </is>
      </c>
      <c r="P368" t="inlineStr">
        <is>
          <t>wiu</t>
        </is>
      </c>
      <c r="R368" t="inlineStr">
        <is>
          <t xml:space="preserve">R  </t>
        </is>
      </c>
      <c r="S368" t="n">
        <v>4</v>
      </c>
      <c r="T368" t="n">
        <v>4</v>
      </c>
      <c r="U368" t="inlineStr">
        <is>
          <t>2007-01-09</t>
        </is>
      </c>
      <c r="V368" t="inlineStr">
        <is>
          <t>2007-01-09</t>
        </is>
      </c>
      <c r="W368" t="inlineStr">
        <is>
          <t>2000-02-10</t>
        </is>
      </c>
      <c r="X368" t="inlineStr">
        <is>
          <t>2000-02-10</t>
        </is>
      </c>
      <c r="Y368" t="n">
        <v>197</v>
      </c>
      <c r="Z368" t="n">
        <v>160</v>
      </c>
      <c r="AA368" t="n">
        <v>163</v>
      </c>
      <c r="AB368" t="n">
        <v>3</v>
      </c>
      <c r="AC368" t="n">
        <v>3</v>
      </c>
      <c r="AD368" t="n">
        <v>7</v>
      </c>
      <c r="AE368" t="n">
        <v>7</v>
      </c>
      <c r="AF368" t="n">
        <v>1</v>
      </c>
      <c r="AG368" t="n">
        <v>1</v>
      </c>
      <c r="AH368" t="n">
        <v>3</v>
      </c>
      <c r="AI368" t="n">
        <v>3</v>
      </c>
      <c r="AJ368" t="n">
        <v>3</v>
      </c>
      <c r="AK368" t="n">
        <v>3</v>
      </c>
      <c r="AL368" t="n">
        <v>2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HYPERLINK("https://creighton-primo.hosted.exlibrisgroup.com/primo-explore/search?tab=default_tab&amp;search_scope=EVERYTHING&amp;vid=01CRU&amp;lang=en_US&amp;offset=0&amp;query=any,contains,991003021869702656","Catalog Record")</f>
        <v/>
      </c>
      <c r="AT368">
        <f>HYPERLINK("http://www.worldcat.org/oclc/41211397","WorldCat Record")</f>
        <v/>
      </c>
    </row>
    <row r="369">
      <c r="A369" t="inlineStr">
        <is>
          <t>No</t>
        </is>
      </c>
      <c r="B369" t="inlineStr">
        <is>
          <t>R895 .D96 1993</t>
        </is>
      </c>
      <c r="C369" t="inlineStr">
        <is>
          <t>0                      R  0895000D  96          1993</t>
        </is>
      </c>
      <c r="D369" t="inlineStr">
        <is>
          <t>Radiation physics with applications in medicine and biology / N.A. Dyson.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Dyson, N. A. (Norman Allen), 1929-</t>
        </is>
      </c>
      <c r="L369" t="inlineStr">
        <is>
          <t>New York : E. Horwood, 1993.</t>
        </is>
      </c>
      <c r="M369" t="inlineStr">
        <is>
          <t>1993</t>
        </is>
      </c>
      <c r="N369" t="inlineStr">
        <is>
          <t>2nd ed.</t>
        </is>
      </c>
      <c r="O369" t="inlineStr">
        <is>
          <t>eng</t>
        </is>
      </c>
      <c r="P369" t="inlineStr">
        <is>
          <t>nyu</t>
        </is>
      </c>
      <c r="Q369" t="inlineStr">
        <is>
          <t>Ellis Horwood series in physics and its applications</t>
        </is>
      </c>
      <c r="R369" t="inlineStr">
        <is>
          <t xml:space="preserve">R  </t>
        </is>
      </c>
      <c r="S369" t="n">
        <v>13</v>
      </c>
      <c r="T369" t="n">
        <v>13</v>
      </c>
      <c r="U369" t="inlineStr">
        <is>
          <t>2010-02-16</t>
        </is>
      </c>
      <c r="V369" t="inlineStr">
        <is>
          <t>2010-02-16</t>
        </is>
      </c>
      <c r="W369" t="inlineStr">
        <is>
          <t>1994-05-17</t>
        </is>
      </c>
      <c r="X369" t="inlineStr">
        <is>
          <t>1994-05-17</t>
        </is>
      </c>
      <c r="Y369" t="n">
        <v>119</v>
      </c>
      <c r="Z369" t="n">
        <v>47</v>
      </c>
      <c r="AA369" t="n">
        <v>52</v>
      </c>
      <c r="AB369" t="n">
        <v>1</v>
      </c>
      <c r="AC369" t="n">
        <v>1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HYPERLINK("https://creighton-primo.hosted.exlibrisgroup.com/primo-explore/search?tab=default_tab&amp;search_scope=EVERYTHING&amp;vid=01CRU&amp;lang=en_US&amp;offset=0&amp;query=any,contains,991002176689702656","Catalog Record")</f>
        <v/>
      </c>
      <c r="AT369">
        <f>HYPERLINK("http://www.worldcat.org/oclc/28022064","WorldCat Record")</f>
        <v/>
      </c>
    </row>
    <row r="370">
      <c r="A370" t="inlineStr">
        <is>
          <t>No</t>
        </is>
      </c>
      <c r="B370" t="inlineStr">
        <is>
          <t>R895 .G74 1985</t>
        </is>
      </c>
      <c r="C370" t="inlineStr">
        <is>
          <t>0                      R  0895000G  74          1985</t>
        </is>
      </c>
      <c r="D370" t="inlineStr">
        <is>
          <t>Fundamentals of radiation dosimetry / J.R. Greening.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Greening, J. R. (John Raymond)</t>
        </is>
      </c>
      <c r="L370" t="inlineStr">
        <is>
          <t>Bristol, [Eng] : Adam Hilger, in collaboration with the Hospital Physicists' Association, 1985.</t>
        </is>
      </c>
      <c r="M370" t="inlineStr">
        <is>
          <t>1985</t>
        </is>
      </c>
      <c r="N370" t="inlineStr">
        <is>
          <t>2nd ed.</t>
        </is>
      </c>
      <c r="O370" t="inlineStr">
        <is>
          <t>eng</t>
        </is>
      </c>
      <c r="P370" t="inlineStr">
        <is>
          <t>enk</t>
        </is>
      </c>
      <c r="Q370" t="inlineStr">
        <is>
          <t>Medical physics handbooks, 0143-0203 ; 15</t>
        </is>
      </c>
      <c r="R370" t="inlineStr">
        <is>
          <t xml:space="preserve">R  </t>
        </is>
      </c>
      <c r="S370" t="n">
        <v>5</v>
      </c>
      <c r="T370" t="n">
        <v>5</v>
      </c>
      <c r="U370" t="inlineStr">
        <is>
          <t>2000-03-28</t>
        </is>
      </c>
      <c r="V370" t="inlineStr">
        <is>
          <t>2000-03-28</t>
        </is>
      </c>
      <c r="W370" t="inlineStr">
        <is>
          <t>1993-03-09</t>
        </is>
      </c>
      <c r="X370" t="inlineStr">
        <is>
          <t>1993-03-09</t>
        </is>
      </c>
      <c r="Y370" t="n">
        <v>145</v>
      </c>
      <c r="Z370" t="n">
        <v>75</v>
      </c>
      <c r="AA370" t="n">
        <v>105</v>
      </c>
      <c r="AB370" t="n">
        <v>1</v>
      </c>
      <c r="AC370" t="n">
        <v>1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0</v>
      </c>
      <c r="AM370" t="n">
        <v>0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HYPERLINK("https://creighton-primo.hosted.exlibrisgroup.com/primo-explore/search?tab=default_tab&amp;search_scope=EVERYTHING&amp;vid=01CRU&amp;lang=en_US&amp;offset=0&amp;query=any,contains,991000654389702656","Catalog Record")</f>
        <v/>
      </c>
      <c r="AT370">
        <f>HYPERLINK("http://www.worldcat.org/oclc/15521662","WorldCat Record")</f>
        <v/>
      </c>
    </row>
    <row r="371">
      <c r="A371" t="inlineStr">
        <is>
          <t>No</t>
        </is>
      </c>
      <c r="B371" t="inlineStr">
        <is>
          <t>R905 .R32 1986</t>
        </is>
      </c>
      <c r="C371" t="inlineStr">
        <is>
          <t>0                      R  0905000R  32          1986</t>
        </is>
      </c>
      <c r="D371" t="inlineStr">
        <is>
          <t>Radiation dosimetry : physical and biological aspects / edited by Colin G. Orton.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New York : Plenum Press, c1986.</t>
        </is>
      </c>
      <c r="M371" t="inlineStr">
        <is>
          <t>1986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R  </t>
        </is>
      </c>
      <c r="S371" t="n">
        <v>5</v>
      </c>
      <c r="T371" t="n">
        <v>5</v>
      </c>
      <c r="U371" t="inlineStr">
        <is>
          <t>2010-02-16</t>
        </is>
      </c>
      <c r="V371" t="inlineStr">
        <is>
          <t>2010-02-16</t>
        </is>
      </c>
      <c r="W371" t="inlineStr">
        <is>
          <t>1993-03-09</t>
        </is>
      </c>
      <c r="X371" t="inlineStr">
        <is>
          <t>1993-03-09</t>
        </is>
      </c>
      <c r="Y371" t="n">
        <v>177</v>
      </c>
      <c r="Z371" t="n">
        <v>134</v>
      </c>
      <c r="AA371" t="n">
        <v>152</v>
      </c>
      <c r="AB371" t="n">
        <v>1</v>
      </c>
      <c r="AC371" t="n">
        <v>1</v>
      </c>
      <c r="AD371" t="n">
        <v>1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1</v>
      </c>
      <c r="AL371" t="n">
        <v>0</v>
      </c>
      <c r="AM371" t="n">
        <v>0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HYPERLINK("https://creighton-primo.hosted.exlibrisgroup.com/primo-explore/search?tab=default_tab&amp;search_scope=EVERYTHING&amp;vid=01CRU&amp;lang=en_US&amp;offset=0&amp;query=any,contains,991000759519702656","Catalog Record")</f>
        <v/>
      </c>
      <c r="AT371">
        <f>HYPERLINK("http://www.worldcat.org/oclc/12971505","WorldCat Record")</f>
        <v/>
      </c>
    </row>
    <row r="372">
      <c r="A372" t="inlineStr">
        <is>
          <t>No</t>
        </is>
      </c>
      <c r="B372" t="inlineStr">
        <is>
          <t>R111 .N58</t>
        </is>
      </c>
      <c r="C372" t="inlineStr">
        <is>
          <t>0                      R  0111000N  58</t>
        </is>
      </c>
      <c r="D372" t="inlineStr">
        <is>
          <t>Physiology or medicine.</t>
        </is>
      </c>
      <c r="E372" t="inlineStr">
        <is>
          <t>V.2</t>
        </is>
      </c>
      <c r="F372" t="inlineStr">
        <is>
          <t>Yes</t>
        </is>
      </c>
      <c r="G372" t="inlineStr">
        <is>
          <t>1</t>
        </is>
      </c>
      <c r="H372" t="inlineStr">
        <is>
          <t>Yes</t>
        </is>
      </c>
      <c r="I372" t="inlineStr">
        <is>
          <t>No</t>
        </is>
      </c>
      <c r="J372" t="inlineStr">
        <is>
          <t>0</t>
        </is>
      </c>
      <c r="K372" t="inlineStr">
        <is>
          <t>Nobelstiftelsen.</t>
        </is>
      </c>
      <c r="L372" t="inlineStr">
        <is>
          <t>Amsterdam ; New York : Published for the Nobel Foundation by Elsevier Pub. Co., 1964-</t>
        </is>
      </c>
      <c r="M372" t="inlineStr">
        <is>
          <t>1964</t>
        </is>
      </c>
      <c r="O372" t="inlineStr">
        <is>
          <t>eng</t>
        </is>
      </c>
      <c r="P372" t="inlineStr">
        <is>
          <t xml:space="preserve">ne </t>
        </is>
      </c>
      <c r="Q372" t="inlineStr">
        <is>
          <t>Nobel lectures, including presentation speeches and laureates' biographies</t>
        </is>
      </c>
      <c r="R372" t="inlineStr">
        <is>
          <t xml:space="preserve">R  </t>
        </is>
      </c>
      <c r="S372" t="n">
        <v>0</v>
      </c>
      <c r="T372" t="n">
        <v>3</v>
      </c>
      <c r="V372" t="inlineStr">
        <is>
          <t>2010-12-21</t>
        </is>
      </c>
      <c r="W372" t="inlineStr">
        <is>
          <t>1988-01-08</t>
        </is>
      </c>
      <c r="X372" t="inlineStr">
        <is>
          <t>2000-02-02</t>
        </is>
      </c>
      <c r="Y372" t="n">
        <v>434</v>
      </c>
      <c r="Z372" t="n">
        <v>387</v>
      </c>
      <c r="AA372" t="n">
        <v>402</v>
      </c>
      <c r="AB372" t="n">
        <v>5</v>
      </c>
      <c r="AC372" t="n">
        <v>5</v>
      </c>
      <c r="AD372" t="n">
        <v>20</v>
      </c>
      <c r="AE372" t="n">
        <v>21</v>
      </c>
      <c r="AF372" t="n">
        <v>5</v>
      </c>
      <c r="AG372" t="n">
        <v>5</v>
      </c>
      <c r="AH372" t="n">
        <v>3</v>
      </c>
      <c r="AI372" t="n">
        <v>4</v>
      </c>
      <c r="AJ372" t="n">
        <v>12</v>
      </c>
      <c r="AK372" t="n">
        <v>13</v>
      </c>
      <c r="AL372" t="n">
        <v>3</v>
      </c>
      <c r="AM372" t="n">
        <v>3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HYPERLINK("http://catalog.hathitrust.org/Record/000314341","HathiTrust Record")</f>
        <v/>
      </c>
      <c r="AS372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72">
        <f>HYPERLINK("http://www.worldcat.org/oclc/8168727","WorldCat Record")</f>
        <v/>
      </c>
    </row>
    <row r="373">
      <c r="A373" t="inlineStr">
        <is>
          <t>No</t>
        </is>
      </c>
      <c r="B373" t="inlineStr">
        <is>
          <t>R111 .N58</t>
        </is>
      </c>
      <c r="C373" t="inlineStr">
        <is>
          <t>0                      R  0111000N  58</t>
        </is>
      </c>
      <c r="D373" t="inlineStr">
        <is>
          <t>Physiology or medicine.</t>
        </is>
      </c>
      <c r="E373" t="inlineStr">
        <is>
          <t>V.1</t>
        </is>
      </c>
      <c r="F373" t="inlineStr">
        <is>
          <t>Yes</t>
        </is>
      </c>
      <c r="G373" t="inlineStr">
        <is>
          <t>1</t>
        </is>
      </c>
      <c r="H373" t="inlineStr">
        <is>
          <t>Yes</t>
        </is>
      </c>
      <c r="I373" t="inlineStr">
        <is>
          <t>No</t>
        </is>
      </c>
      <c r="J373" t="inlineStr">
        <is>
          <t>0</t>
        </is>
      </c>
      <c r="K373" t="inlineStr">
        <is>
          <t>Nobelstiftelsen.</t>
        </is>
      </c>
      <c r="L373" t="inlineStr">
        <is>
          <t>Amsterdam ; New York : Published for the Nobel Foundation by Elsevier Pub. Co., 1964-</t>
        </is>
      </c>
      <c r="M373" t="inlineStr">
        <is>
          <t>1964</t>
        </is>
      </c>
      <c r="O373" t="inlineStr">
        <is>
          <t>eng</t>
        </is>
      </c>
      <c r="P373" t="inlineStr">
        <is>
          <t xml:space="preserve">ne </t>
        </is>
      </c>
      <c r="Q373" t="inlineStr">
        <is>
          <t>Nobel lectures, including presentation speeches and laureates' biographies</t>
        </is>
      </c>
      <c r="R373" t="inlineStr">
        <is>
          <t xml:space="preserve">R  </t>
        </is>
      </c>
      <c r="S373" t="n">
        <v>1</v>
      </c>
      <c r="T373" t="n">
        <v>3</v>
      </c>
      <c r="U373" t="inlineStr">
        <is>
          <t>1992-08-29</t>
        </is>
      </c>
      <c r="V373" t="inlineStr">
        <is>
          <t>2010-12-21</t>
        </is>
      </c>
      <c r="W373" t="inlineStr">
        <is>
          <t>1988-01-08</t>
        </is>
      </c>
      <c r="X373" t="inlineStr">
        <is>
          <t>2000-02-02</t>
        </is>
      </c>
      <c r="Y373" t="n">
        <v>434</v>
      </c>
      <c r="Z373" t="n">
        <v>387</v>
      </c>
      <c r="AA373" t="n">
        <v>402</v>
      </c>
      <c r="AB373" t="n">
        <v>5</v>
      </c>
      <c r="AC373" t="n">
        <v>5</v>
      </c>
      <c r="AD373" t="n">
        <v>20</v>
      </c>
      <c r="AE373" t="n">
        <v>21</v>
      </c>
      <c r="AF373" t="n">
        <v>5</v>
      </c>
      <c r="AG373" t="n">
        <v>5</v>
      </c>
      <c r="AH373" t="n">
        <v>3</v>
      </c>
      <c r="AI373" t="n">
        <v>4</v>
      </c>
      <c r="AJ373" t="n">
        <v>12</v>
      </c>
      <c r="AK373" t="n">
        <v>13</v>
      </c>
      <c r="AL373" t="n">
        <v>3</v>
      </c>
      <c r="AM373" t="n">
        <v>3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HYPERLINK("http://catalog.hathitrust.org/Record/000314341","HathiTrust Record")</f>
        <v/>
      </c>
      <c r="AS373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73">
        <f>HYPERLINK("http://www.worldcat.org/oclc/8168727","WorldCat Record")</f>
        <v/>
      </c>
    </row>
    <row r="374">
      <c r="A374" t="inlineStr">
        <is>
          <t>No</t>
        </is>
      </c>
      <c r="B374" t="inlineStr">
        <is>
          <t>R111 .N58</t>
        </is>
      </c>
      <c r="C374" t="inlineStr">
        <is>
          <t>0                      R  0111000N  58</t>
        </is>
      </c>
      <c r="D374" t="inlineStr">
        <is>
          <t>Physiology or medicine.</t>
        </is>
      </c>
      <c r="E374" t="inlineStr">
        <is>
          <t>V.3</t>
        </is>
      </c>
      <c r="F374" t="inlineStr">
        <is>
          <t>Yes</t>
        </is>
      </c>
      <c r="G374" t="inlineStr">
        <is>
          <t>1</t>
        </is>
      </c>
      <c r="H374" t="inlineStr">
        <is>
          <t>Yes</t>
        </is>
      </c>
      <c r="I374" t="inlineStr">
        <is>
          <t>No</t>
        </is>
      </c>
      <c r="J374" t="inlineStr">
        <is>
          <t>0</t>
        </is>
      </c>
      <c r="K374" t="inlineStr">
        <is>
          <t>Nobelstiftelsen.</t>
        </is>
      </c>
      <c r="L374" t="inlineStr">
        <is>
          <t>Amsterdam ; New York : Published for the Nobel Foundation by Elsevier Pub. Co., 1964-</t>
        </is>
      </c>
      <c r="M374" t="inlineStr">
        <is>
          <t>1964</t>
        </is>
      </c>
      <c r="O374" t="inlineStr">
        <is>
          <t>eng</t>
        </is>
      </c>
      <c r="P374" t="inlineStr">
        <is>
          <t xml:space="preserve">ne </t>
        </is>
      </c>
      <c r="Q374" t="inlineStr">
        <is>
          <t>Nobel lectures, including presentation speeches and laureates' biographies</t>
        </is>
      </c>
      <c r="R374" t="inlineStr">
        <is>
          <t xml:space="preserve">R  </t>
        </is>
      </c>
      <c r="S374" t="n">
        <v>2</v>
      </c>
      <c r="T374" t="n">
        <v>3</v>
      </c>
      <c r="U374" t="inlineStr">
        <is>
          <t>2010-12-21</t>
        </is>
      </c>
      <c r="V374" t="inlineStr">
        <is>
          <t>2010-12-21</t>
        </is>
      </c>
      <c r="W374" t="inlineStr">
        <is>
          <t>1988-01-08</t>
        </is>
      </c>
      <c r="X374" t="inlineStr">
        <is>
          <t>2000-02-02</t>
        </is>
      </c>
      <c r="Y374" t="n">
        <v>434</v>
      </c>
      <c r="Z374" t="n">
        <v>387</v>
      </c>
      <c r="AA374" t="n">
        <v>402</v>
      </c>
      <c r="AB374" t="n">
        <v>5</v>
      </c>
      <c r="AC374" t="n">
        <v>5</v>
      </c>
      <c r="AD374" t="n">
        <v>20</v>
      </c>
      <c r="AE374" t="n">
        <v>21</v>
      </c>
      <c r="AF374" t="n">
        <v>5</v>
      </c>
      <c r="AG374" t="n">
        <v>5</v>
      </c>
      <c r="AH374" t="n">
        <v>3</v>
      </c>
      <c r="AI374" t="n">
        <v>4</v>
      </c>
      <c r="AJ374" t="n">
        <v>12</v>
      </c>
      <c r="AK374" t="n">
        <v>13</v>
      </c>
      <c r="AL374" t="n">
        <v>3</v>
      </c>
      <c r="AM374" t="n">
        <v>3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HYPERLINK("http://catalog.hathitrust.org/Record/000314341","HathiTrust Record")</f>
        <v/>
      </c>
      <c r="AS374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74">
        <f>HYPERLINK("http://www.worldcat.org/oclc/8168727","WorldCat Record")</f>
        <v/>
      </c>
    </row>
    <row r="375">
      <c r="A375" t="inlineStr">
        <is>
          <t>No</t>
        </is>
      </c>
      <c r="B375" t="inlineStr">
        <is>
          <t>R121.S8 2000</t>
        </is>
      </c>
      <c r="C375" t="inlineStr">
        <is>
          <t>0                      R  0121000S  8           2000</t>
        </is>
      </c>
      <c r="D375" t="inlineStr">
        <is>
          <t>Stedman's medical dictionary.</t>
        </is>
      </c>
      <c r="F375" t="inlineStr">
        <is>
          <t>No</t>
        </is>
      </c>
      <c r="G375" t="inlineStr">
        <is>
          <t>1</t>
        </is>
      </c>
      <c r="H375" t="inlineStr">
        <is>
          <t>Yes</t>
        </is>
      </c>
      <c r="I375" t="inlineStr">
        <is>
          <t>Yes</t>
        </is>
      </c>
      <c r="J375" t="inlineStr">
        <is>
          <t>1</t>
        </is>
      </c>
      <c r="K375" t="inlineStr">
        <is>
          <t>Stedman, Thomas Lathrop, 1853-1938.</t>
        </is>
      </c>
      <c r="L375" t="inlineStr">
        <is>
          <t>Philadelphia : Lippincott Williams &amp; Wilkins, c2000.</t>
        </is>
      </c>
      <c r="M375" t="inlineStr">
        <is>
          <t>2000</t>
        </is>
      </c>
      <c r="N375" t="inlineStr">
        <is>
          <t>27th ed.</t>
        </is>
      </c>
      <c r="O375" t="inlineStr">
        <is>
          <t>eng</t>
        </is>
      </c>
      <c r="P375" t="inlineStr">
        <is>
          <t>pau</t>
        </is>
      </c>
      <c r="R375" t="inlineStr">
        <is>
          <t xml:space="preserve">R  </t>
        </is>
      </c>
      <c r="S375" t="n">
        <v>175</v>
      </c>
      <c r="T375" t="n">
        <v>177</v>
      </c>
      <c r="U375" t="inlineStr">
        <is>
          <t>2008-10-30</t>
        </is>
      </c>
      <c r="V375" t="inlineStr">
        <is>
          <t>2010-02-24</t>
        </is>
      </c>
      <c r="W375" t="inlineStr">
        <is>
          <t>2000-03-20</t>
        </is>
      </c>
      <c r="X375" t="inlineStr">
        <is>
          <t>2001-03-26</t>
        </is>
      </c>
      <c r="Y375" t="n">
        <v>1171</v>
      </c>
      <c r="Z375" t="n">
        <v>1017</v>
      </c>
      <c r="AA375" t="n">
        <v>2937</v>
      </c>
      <c r="AB375" t="n">
        <v>5</v>
      </c>
      <c r="AC375" t="n">
        <v>21</v>
      </c>
      <c r="AD375" t="n">
        <v>14</v>
      </c>
      <c r="AE375" t="n">
        <v>65</v>
      </c>
      <c r="AF375" t="n">
        <v>6</v>
      </c>
      <c r="AG375" t="n">
        <v>21</v>
      </c>
      <c r="AH375" t="n">
        <v>3</v>
      </c>
      <c r="AI375" t="n">
        <v>8</v>
      </c>
      <c r="AJ375" t="n">
        <v>5</v>
      </c>
      <c r="AK375" t="n">
        <v>23</v>
      </c>
      <c r="AL375" t="n">
        <v>0</v>
      </c>
      <c r="AM375" t="n">
        <v>6</v>
      </c>
      <c r="AN375" t="n">
        <v>2</v>
      </c>
      <c r="AO375" t="n">
        <v>18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HYPERLINK("http://catalog.hathitrust.org/Record/004083329","HathiTrust Record")</f>
        <v/>
      </c>
      <c r="AS375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T375">
        <f>HYPERLINK("http://www.worldcat.org/oclc/42772946","WorldCat Record")</f>
        <v/>
      </c>
    </row>
    <row r="376">
      <c r="A376" t="inlineStr">
        <is>
          <t>No</t>
        </is>
      </c>
      <c r="B376" t="inlineStr">
        <is>
          <t>R121.S8 2000</t>
        </is>
      </c>
      <c r="C376" t="inlineStr">
        <is>
          <t>0                      R  0121000S  8           2000</t>
        </is>
      </c>
      <c r="D376" t="inlineStr">
        <is>
          <t>Stedman's medical dictionary.</t>
        </is>
      </c>
      <c r="F376" t="inlineStr">
        <is>
          <t>No</t>
        </is>
      </c>
      <c r="G376" t="inlineStr">
        <is>
          <t>2</t>
        </is>
      </c>
      <c r="H376" t="inlineStr">
        <is>
          <t>Yes</t>
        </is>
      </c>
      <c r="I376" t="inlineStr">
        <is>
          <t>Yes</t>
        </is>
      </c>
      <c r="J376" t="inlineStr">
        <is>
          <t>1</t>
        </is>
      </c>
      <c r="K376" t="inlineStr">
        <is>
          <t>Stedman, Thomas Lathrop, 1853-1938.</t>
        </is>
      </c>
      <c r="L376" t="inlineStr">
        <is>
          <t>Philadelphia : Lippincott Williams &amp; Wilkins, c2000.</t>
        </is>
      </c>
      <c r="M376" t="inlineStr">
        <is>
          <t>2000</t>
        </is>
      </c>
      <c r="N376" t="inlineStr">
        <is>
          <t>27th ed.</t>
        </is>
      </c>
      <c r="O376" t="inlineStr">
        <is>
          <t>eng</t>
        </is>
      </c>
      <c r="P376" t="inlineStr">
        <is>
          <t>pau</t>
        </is>
      </c>
      <c r="R376" t="inlineStr">
        <is>
          <t xml:space="preserve">R  </t>
        </is>
      </c>
      <c r="S376" t="n">
        <v>2</v>
      </c>
      <c r="T376" t="n">
        <v>177</v>
      </c>
      <c r="U376" t="inlineStr">
        <is>
          <t>2010-02-24</t>
        </is>
      </c>
      <c r="V376" t="inlineStr">
        <is>
          <t>2010-02-24</t>
        </is>
      </c>
      <c r="W376" t="inlineStr">
        <is>
          <t>2001-03-26</t>
        </is>
      </c>
      <c r="X376" t="inlineStr">
        <is>
          <t>2001-03-26</t>
        </is>
      </c>
      <c r="Y376" t="n">
        <v>1171</v>
      </c>
      <c r="Z376" t="n">
        <v>1017</v>
      </c>
      <c r="AA376" t="n">
        <v>2937</v>
      </c>
      <c r="AB376" t="n">
        <v>5</v>
      </c>
      <c r="AC376" t="n">
        <v>21</v>
      </c>
      <c r="AD376" t="n">
        <v>14</v>
      </c>
      <c r="AE376" t="n">
        <v>65</v>
      </c>
      <c r="AF376" t="n">
        <v>6</v>
      </c>
      <c r="AG376" t="n">
        <v>21</v>
      </c>
      <c r="AH376" t="n">
        <v>3</v>
      </c>
      <c r="AI376" t="n">
        <v>8</v>
      </c>
      <c r="AJ376" t="n">
        <v>5</v>
      </c>
      <c r="AK376" t="n">
        <v>23</v>
      </c>
      <c r="AL376" t="n">
        <v>0</v>
      </c>
      <c r="AM376" t="n">
        <v>6</v>
      </c>
      <c r="AN376" t="n">
        <v>2</v>
      </c>
      <c r="AO376" t="n">
        <v>18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HYPERLINK("http://catalog.hathitrust.org/Record/004083329","HathiTrust Record")</f>
        <v/>
      </c>
      <c r="AS376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T376">
        <f>HYPERLINK("http://www.worldcat.org/oclc/42772946","WorldCat Record")</f>
        <v/>
      </c>
    </row>
    <row r="377">
      <c r="A377" t="inlineStr">
        <is>
          <t>No</t>
        </is>
      </c>
      <c r="B377" t="inlineStr">
        <is>
          <t>R131 .C233 1993</t>
        </is>
      </c>
      <c r="C377" t="inlineStr">
        <is>
          <t>0                      R  0131000C  233         1993</t>
        </is>
      </c>
      <c r="D377" t="inlineStr">
        <is>
          <t>The Cambridge world history of human disease / editor, Kenneth F. Kiple ; executive editor, Rachael Rockwell Graham ; associate editors, David Frey ... [et al.] ; assistant editors, Alicia Browne ... [et al.].</t>
        </is>
      </c>
      <c r="F377" t="inlineStr">
        <is>
          <t>No</t>
        </is>
      </c>
      <c r="G377" t="inlineStr">
        <is>
          <t>1</t>
        </is>
      </c>
      <c r="H377" t="inlineStr">
        <is>
          <t>Yes</t>
        </is>
      </c>
      <c r="I377" t="inlineStr">
        <is>
          <t>No</t>
        </is>
      </c>
      <c r="J377" t="inlineStr">
        <is>
          <t>1</t>
        </is>
      </c>
      <c r="L377" t="inlineStr">
        <is>
          <t>Cambridge ; New York : Cambridge University Press, 1993.</t>
        </is>
      </c>
      <c r="M377" t="inlineStr">
        <is>
          <t>1993</t>
        </is>
      </c>
      <c r="O377" t="inlineStr">
        <is>
          <t>eng</t>
        </is>
      </c>
      <c r="P377" t="inlineStr">
        <is>
          <t>enk</t>
        </is>
      </c>
      <c r="R377" t="inlineStr">
        <is>
          <t xml:space="preserve">R  </t>
        </is>
      </c>
      <c r="S377" t="n">
        <v>21</v>
      </c>
      <c r="T377" t="n">
        <v>32</v>
      </c>
      <c r="U377" t="inlineStr">
        <is>
          <t>1993-02-24</t>
        </is>
      </c>
      <c r="V377" t="inlineStr">
        <is>
          <t>1995-03-30</t>
        </is>
      </c>
      <c r="W377" t="inlineStr">
        <is>
          <t>1992-12-21</t>
        </is>
      </c>
      <c r="X377" t="inlineStr">
        <is>
          <t>1993-07-30</t>
        </is>
      </c>
      <c r="Y377" t="n">
        <v>1400</v>
      </c>
      <c r="Z377" t="n">
        <v>1190</v>
      </c>
      <c r="AA377" t="n">
        <v>1319</v>
      </c>
      <c r="AB377" t="n">
        <v>9</v>
      </c>
      <c r="AC377" t="n">
        <v>9</v>
      </c>
      <c r="AD377" t="n">
        <v>36</v>
      </c>
      <c r="AE377" t="n">
        <v>42</v>
      </c>
      <c r="AF377" t="n">
        <v>14</v>
      </c>
      <c r="AG377" t="n">
        <v>17</v>
      </c>
      <c r="AH377" t="n">
        <v>5</v>
      </c>
      <c r="AI377" t="n">
        <v>8</v>
      </c>
      <c r="AJ377" t="n">
        <v>14</v>
      </c>
      <c r="AK377" t="n">
        <v>17</v>
      </c>
      <c r="AL377" t="n">
        <v>5</v>
      </c>
      <c r="AM377" t="n">
        <v>5</v>
      </c>
      <c r="AN377" t="n">
        <v>2</v>
      </c>
      <c r="AO377" t="n">
        <v>2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HYPERLINK("https://creighton-primo.hosted.exlibrisgroup.com/primo-explore/search?tab=default_tab&amp;search_scope=EVERYTHING&amp;vid=01CRU&amp;lang=en_US&amp;offset=0&amp;query=any,contains,991001689869702656","Catalog Record")</f>
        <v/>
      </c>
      <c r="AT377">
        <f>HYPERLINK("http://www.worldcat.org/oclc/25315863","WorldCat Record")</f>
        <v/>
      </c>
    </row>
    <row r="378">
      <c r="A378" t="inlineStr">
        <is>
          <t>No</t>
        </is>
      </c>
      <c r="B378" t="inlineStr">
        <is>
          <t>R131 .M27</t>
        </is>
      </c>
      <c r="C378" t="inlineStr">
        <is>
          <t>0                      R  0131000M  27</t>
        </is>
      </c>
      <c r="D378" t="inlineStr">
        <is>
          <t>Centaur; essays on the history of medical ideas.</t>
        </is>
      </c>
      <c r="F378" t="inlineStr">
        <is>
          <t>No</t>
        </is>
      </c>
      <c r="G378" t="inlineStr">
        <is>
          <t>1</t>
        </is>
      </c>
      <c r="H378" t="inlineStr">
        <is>
          <t>Yes</t>
        </is>
      </c>
      <c r="I378" t="inlineStr">
        <is>
          <t>No</t>
        </is>
      </c>
      <c r="J378" t="inlineStr">
        <is>
          <t>0</t>
        </is>
      </c>
      <c r="K378" t="inlineStr">
        <is>
          <t>Martí-Ibáñez, Félix, 1915-1972.</t>
        </is>
      </c>
      <c r="L378" t="inlineStr">
        <is>
          <t>New York, MD Publications [1958]</t>
        </is>
      </c>
      <c r="M378" t="inlineStr">
        <is>
          <t>1958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R  </t>
        </is>
      </c>
      <c r="S378" t="n">
        <v>0</v>
      </c>
      <c r="T378" t="n">
        <v>1</v>
      </c>
      <c r="V378" t="inlineStr">
        <is>
          <t>2010-04-10</t>
        </is>
      </c>
      <c r="W378" t="inlineStr">
        <is>
          <t>1988-03-03</t>
        </is>
      </c>
      <c r="X378" t="inlineStr">
        <is>
          <t>1997-08-07</t>
        </is>
      </c>
      <c r="Y378" t="n">
        <v>369</v>
      </c>
      <c r="Z378" t="n">
        <v>310</v>
      </c>
      <c r="AA378" t="n">
        <v>317</v>
      </c>
      <c r="AB378" t="n">
        <v>4</v>
      </c>
      <c r="AC378" t="n">
        <v>4</v>
      </c>
      <c r="AD378" t="n">
        <v>9</v>
      </c>
      <c r="AE378" t="n">
        <v>9</v>
      </c>
      <c r="AF378" t="n">
        <v>3</v>
      </c>
      <c r="AG378" t="n">
        <v>3</v>
      </c>
      <c r="AH378" t="n">
        <v>2</v>
      </c>
      <c r="AI378" t="n">
        <v>2</v>
      </c>
      <c r="AJ378" t="n">
        <v>6</v>
      </c>
      <c r="AK378" t="n">
        <v>6</v>
      </c>
      <c r="AL378" t="n">
        <v>2</v>
      </c>
      <c r="AM378" t="n">
        <v>2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R378">
        <f>HYPERLINK("http://catalog.hathitrust.org/Record/001557024","HathiTrust Record")</f>
        <v/>
      </c>
      <c r="AS378">
        <f>HYPERLINK("https://creighton-primo.hosted.exlibrisgroup.com/primo-explore/search?tab=default_tab&amp;search_scope=EVERYTHING&amp;vid=01CRU&amp;lang=en_US&amp;offset=0&amp;query=any,contains,991001778129702656","Catalog Record")</f>
        <v/>
      </c>
      <c r="AT378">
        <f>HYPERLINK("http://www.worldcat.org/oclc/339430","WorldCat Record")</f>
        <v/>
      </c>
    </row>
    <row r="379">
      <c r="A379" t="inlineStr">
        <is>
          <t>No</t>
        </is>
      </c>
      <c r="B379" t="inlineStr">
        <is>
          <t>R135.5 .J3 1975</t>
        </is>
      </c>
      <c r="C379" t="inlineStr">
        <is>
          <t>0                      R  0135500J  3           1975</t>
        </is>
      </c>
      <c r="D379" t="inlineStr">
        <is>
          <t>Jewish medical ethics : a comparative and historical study of the Jewish religious attitude to medicine and its practice / by Immanuel Jakobovits.</t>
        </is>
      </c>
      <c r="F379" t="inlineStr">
        <is>
          <t>No</t>
        </is>
      </c>
      <c r="G379" t="inlineStr">
        <is>
          <t>1</t>
        </is>
      </c>
      <c r="H379" t="inlineStr">
        <is>
          <t>Yes</t>
        </is>
      </c>
      <c r="I379" t="inlineStr">
        <is>
          <t>No</t>
        </is>
      </c>
      <c r="J379" t="inlineStr">
        <is>
          <t>0</t>
        </is>
      </c>
      <c r="K379" t="inlineStr">
        <is>
          <t>Jakobovits, Immanuel, Sir, 1921-1999.</t>
        </is>
      </c>
      <c r="L379" t="inlineStr">
        <is>
          <t>New York : Bloch Pub. Co., c1975.</t>
        </is>
      </c>
      <c r="M379" t="inlineStr">
        <is>
          <t>1975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R  </t>
        </is>
      </c>
      <c r="S379" t="n">
        <v>3</v>
      </c>
      <c r="T379" t="n">
        <v>3</v>
      </c>
      <c r="U379" t="inlineStr">
        <is>
          <t>2000-04-21</t>
        </is>
      </c>
      <c r="V379" t="inlineStr">
        <is>
          <t>2000-04-21</t>
        </is>
      </c>
      <c r="W379" t="inlineStr">
        <is>
          <t>1987-10-08</t>
        </is>
      </c>
      <c r="X379" t="inlineStr">
        <is>
          <t>1992-09-14</t>
        </is>
      </c>
      <c r="Y379" t="n">
        <v>377</v>
      </c>
      <c r="Z379" t="n">
        <v>320</v>
      </c>
      <c r="AA379" t="n">
        <v>493</v>
      </c>
      <c r="AB379" t="n">
        <v>3</v>
      </c>
      <c r="AC379" t="n">
        <v>4</v>
      </c>
      <c r="AD379" t="n">
        <v>14</v>
      </c>
      <c r="AE379" t="n">
        <v>23</v>
      </c>
      <c r="AF379" t="n">
        <v>4</v>
      </c>
      <c r="AG379" t="n">
        <v>6</v>
      </c>
      <c r="AH379" t="n">
        <v>4</v>
      </c>
      <c r="AI379" t="n">
        <v>7</v>
      </c>
      <c r="AJ379" t="n">
        <v>8</v>
      </c>
      <c r="AK379" t="n">
        <v>13</v>
      </c>
      <c r="AL379" t="n">
        <v>1</v>
      </c>
      <c r="AM379" t="n">
        <v>2</v>
      </c>
      <c r="AN379" t="n">
        <v>1</v>
      </c>
      <c r="AO379" t="n">
        <v>1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HYPERLINK("http://catalog.hathitrust.org/Record/000685674","HathiTrust Record")</f>
        <v/>
      </c>
      <c r="AS379">
        <f>HYPERLINK("https://creighton-primo.hosted.exlibrisgroup.com/primo-explore/search?tab=default_tab&amp;search_scope=EVERYTHING&amp;vid=01CRU&amp;lang=en_US&amp;offset=0&amp;query=any,contains,991001790679702656","Catalog Record")</f>
        <v/>
      </c>
      <c r="AT379">
        <f>HYPERLINK("http://www.worldcat.org/oclc/1750044","WorldCat Record")</f>
        <v/>
      </c>
    </row>
    <row r="380">
      <c r="A380" t="inlineStr">
        <is>
          <t>No</t>
        </is>
      </c>
      <c r="B380" t="inlineStr">
        <is>
          <t>R601 .S57</t>
        </is>
      </c>
      <c r="C380" t="inlineStr">
        <is>
          <t>0                      R  0601000S  57</t>
        </is>
      </c>
      <c r="D380" t="inlineStr">
        <is>
          <t>Serve the people; observations on medicine in the People's Republic of China [by] Victor W. Sidel and Ruth Sidel.</t>
        </is>
      </c>
      <c r="F380" t="inlineStr">
        <is>
          <t>No</t>
        </is>
      </c>
      <c r="G380" t="inlineStr">
        <is>
          <t>1</t>
        </is>
      </c>
      <c r="H380" t="inlineStr">
        <is>
          <t>Yes</t>
        </is>
      </c>
      <c r="I380" t="inlineStr">
        <is>
          <t>No</t>
        </is>
      </c>
      <c r="J380" t="inlineStr">
        <is>
          <t>0</t>
        </is>
      </c>
      <c r="K380" t="inlineStr">
        <is>
          <t>Sidel, Victor W.</t>
        </is>
      </c>
      <c r="L380" t="inlineStr">
        <is>
          <t>New York, Josiah Macy, Jr. Foundation [c1973]</t>
        </is>
      </c>
      <c r="M380" t="inlineStr">
        <is>
          <t>1973</t>
        </is>
      </c>
      <c r="O380" t="inlineStr">
        <is>
          <t>eng</t>
        </is>
      </c>
      <c r="P380" t="inlineStr">
        <is>
          <t>nyu</t>
        </is>
      </c>
      <c r="Q380" t="inlineStr">
        <is>
          <t>Macy Foundation series on medicine and public health in China</t>
        </is>
      </c>
      <c r="R380" t="inlineStr">
        <is>
          <t xml:space="preserve">R  </t>
        </is>
      </c>
      <c r="S380" t="n">
        <v>1</v>
      </c>
      <c r="T380" t="n">
        <v>7</v>
      </c>
      <c r="U380" t="inlineStr">
        <is>
          <t>1997-10-10</t>
        </is>
      </c>
      <c r="V380" t="inlineStr">
        <is>
          <t>1999-09-22</t>
        </is>
      </c>
      <c r="W380" t="inlineStr">
        <is>
          <t>1988-02-03</t>
        </is>
      </c>
      <c r="X380" t="inlineStr">
        <is>
          <t>1997-08-07</t>
        </is>
      </c>
      <c r="Y380" t="n">
        <v>391</v>
      </c>
      <c r="Z380" t="n">
        <v>337</v>
      </c>
      <c r="AA380" t="n">
        <v>436</v>
      </c>
      <c r="AB380" t="n">
        <v>2</v>
      </c>
      <c r="AC380" t="n">
        <v>2</v>
      </c>
      <c r="AD380" t="n">
        <v>14</v>
      </c>
      <c r="AE380" t="n">
        <v>16</v>
      </c>
      <c r="AF380" t="n">
        <v>5</v>
      </c>
      <c r="AG380" t="n">
        <v>7</v>
      </c>
      <c r="AH380" t="n">
        <v>5</v>
      </c>
      <c r="AI380" t="n">
        <v>5</v>
      </c>
      <c r="AJ380" t="n">
        <v>7</v>
      </c>
      <c r="AK380" t="n">
        <v>8</v>
      </c>
      <c r="AL380" t="n">
        <v>0</v>
      </c>
      <c r="AM380" t="n">
        <v>0</v>
      </c>
      <c r="AN380" t="n">
        <v>1</v>
      </c>
      <c r="AO380" t="n">
        <v>1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HYPERLINK("http://catalog.hathitrust.org/Record/000012490","HathiTrust Record")</f>
        <v/>
      </c>
      <c r="AS380">
        <f>HYPERLINK("https://creighton-primo.hosted.exlibrisgroup.com/primo-explore/search?tab=default_tab&amp;search_scope=EVERYTHING&amp;vid=01CRU&amp;lang=en_US&amp;offset=0&amp;query=any,contains,991001756179702656","Catalog Record")</f>
        <v/>
      </c>
      <c r="AT380">
        <f>HYPERLINK("http://www.worldcat.org/oclc/821170","WorldCat Record")</f>
        <v/>
      </c>
    </row>
    <row r="381">
      <c r="A381" t="inlineStr">
        <is>
          <t>No</t>
        </is>
      </c>
      <c r="B381" t="inlineStr">
        <is>
          <t>R690 .M55 2002</t>
        </is>
      </c>
      <c r="C381" t="inlineStr">
        <is>
          <t>0                      R  0690000M  55          2002</t>
        </is>
      </c>
      <c r="D381" t="inlineStr">
        <is>
          <t>Introduction to the health professions / Peggy S. Stanfield, Y.H. Hui.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Stanfield, Peggy.</t>
        </is>
      </c>
      <c r="L381" t="inlineStr">
        <is>
          <t>Sudbury, Mass. : Jones and Barlett Publishers, c2002.</t>
        </is>
      </c>
      <c r="M381" t="inlineStr">
        <is>
          <t>2002</t>
        </is>
      </c>
      <c r="N381" t="inlineStr">
        <is>
          <t>4th ed.</t>
        </is>
      </c>
      <c r="O381" t="inlineStr">
        <is>
          <t>eng</t>
        </is>
      </c>
      <c r="P381" t="inlineStr">
        <is>
          <t>mau</t>
        </is>
      </c>
      <c r="R381" t="inlineStr">
        <is>
          <t xml:space="preserve">R  </t>
        </is>
      </c>
      <c r="S381" t="n">
        <v>8</v>
      </c>
      <c r="T381" t="n">
        <v>8</v>
      </c>
      <c r="U381" t="inlineStr">
        <is>
          <t>2007-05-23</t>
        </is>
      </c>
      <c r="V381" t="inlineStr">
        <is>
          <t>2007-05-23</t>
        </is>
      </c>
      <c r="W381" t="inlineStr">
        <is>
          <t>2002-10-14</t>
        </is>
      </c>
      <c r="X381" t="inlineStr">
        <is>
          <t>2002-10-14</t>
        </is>
      </c>
      <c r="Y381" t="n">
        <v>208</v>
      </c>
      <c r="Z381" t="n">
        <v>176</v>
      </c>
      <c r="AA381" t="n">
        <v>1298</v>
      </c>
      <c r="AB381" t="n">
        <v>2</v>
      </c>
      <c r="AC381" t="n">
        <v>8</v>
      </c>
      <c r="AD381" t="n">
        <v>5</v>
      </c>
      <c r="AE381" t="n">
        <v>34</v>
      </c>
      <c r="AF381" t="n">
        <v>2</v>
      </c>
      <c r="AG381" t="n">
        <v>18</v>
      </c>
      <c r="AH381" t="n">
        <v>1</v>
      </c>
      <c r="AI381" t="n">
        <v>5</v>
      </c>
      <c r="AJ381" t="n">
        <v>1</v>
      </c>
      <c r="AK381" t="n">
        <v>12</v>
      </c>
      <c r="AL381" t="n">
        <v>1</v>
      </c>
      <c r="AM381" t="n">
        <v>6</v>
      </c>
      <c r="AN381" t="n">
        <v>0</v>
      </c>
      <c r="AO381" t="n">
        <v>1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HYPERLINK("http://catalog.hathitrust.org/Record/004278590","HathiTrust Record")</f>
        <v/>
      </c>
      <c r="AS381">
        <f>HYPERLINK("https://creighton-primo.hosted.exlibrisgroup.com/primo-explore/search?tab=default_tab&amp;search_scope=EVERYTHING&amp;vid=01CRU&amp;lang=en_US&amp;offset=0&amp;query=any,contains,991000330859702656","Catalog Record")</f>
        <v/>
      </c>
      <c r="AT381">
        <f>HYPERLINK("http://www.worldcat.org/oclc/49598524","WorldCat Record")</f>
        <v/>
      </c>
    </row>
    <row r="382">
      <c r="A382" t="inlineStr">
        <is>
          <t>No</t>
        </is>
      </c>
      <c r="B382" t="inlineStr">
        <is>
          <t>R692 .W34 1977</t>
        </is>
      </c>
      <c r="C382" t="inlineStr">
        <is>
          <t>0                      R  0692000W  34          1977</t>
        </is>
      </c>
      <c r="D382" t="inlineStr">
        <is>
          <t>"Doctors wanted, no women need apply" : sexual barriers in the medical profession, 1835-1975 / Mary Roth Walsh.</t>
        </is>
      </c>
      <c r="F382" t="inlineStr">
        <is>
          <t>No</t>
        </is>
      </c>
      <c r="G382" t="inlineStr">
        <is>
          <t>1</t>
        </is>
      </c>
      <c r="H382" t="inlineStr">
        <is>
          <t>Yes</t>
        </is>
      </c>
      <c r="I382" t="inlineStr">
        <is>
          <t>No</t>
        </is>
      </c>
      <c r="J382" t="inlineStr">
        <is>
          <t>0</t>
        </is>
      </c>
      <c r="K382" t="inlineStr">
        <is>
          <t>Walsh, Mary Roth.</t>
        </is>
      </c>
      <c r="L382" t="inlineStr">
        <is>
          <t>New Haven : Yale University Press, 1977.</t>
        </is>
      </c>
      <c r="M382" t="inlineStr">
        <is>
          <t>1977</t>
        </is>
      </c>
      <c r="O382" t="inlineStr">
        <is>
          <t>eng</t>
        </is>
      </c>
      <c r="P382" t="inlineStr">
        <is>
          <t>ctu</t>
        </is>
      </c>
      <c r="R382" t="inlineStr">
        <is>
          <t xml:space="preserve">R  </t>
        </is>
      </c>
      <c r="S382" t="n">
        <v>8</v>
      </c>
      <c r="T382" t="n">
        <v>14</v>
      </c>
      <c r="U382" t="inlineStr">
        <is>
          <t>2006-02-24</t>
        </is>
      </c>
      <c r="V382" t="inlineStr">
        <is>
          <t>2006-02-24</t>
        </is>
      </c>
      <c r="W382" t="inlineStr">
        <is>
          <t>1987-10-01</t>
        </is>
      </c>
      <c r="X382" t="inlineStr">
        <is>
          <t>1993-03-08</t>
        </is>
      </c>
      <c r="Y382" t="n">
        <v>1108</v>
      </c>
      <c r="Z382" t="n">
        <v>973</v>
      </c>
      <c r="AA382" t="n">
        <v>989</v>
      </c>
      <c r="AB382" t="n">
        <v>6</v>
      </c>
      <c r="AC382" t="n">
        <v>6</v>
      </c>
      <c r="AD382" t="n">
        <v>38</v>
      </c>
      <c r="AE382" t="n">
        <v>38</v>
      </c>
      <c r="AF382" t="n">
        <v>17</v>
      </c>
      <c r="AG382" t="n">
        <v>17</v>
      </c>
      <c r="AH382" t="n">
        <v>8</v>
      </c>
      <c r="AI382" t="n">
        <v>8</v>
      </c>
      <c r="AJ382" t="n">
        <v>14</v>
      </c>
      <c r="AK382" t="n">
        <v>14</v>
      </c>
      <c r="AL382" t="n">
        <v>4</v>
      </c>
      <c r="AM382" t="n">
        <v>4</v>
      </c>
      <c r="AN382" t="n">
        <v>4</v>
      </c>
      <c r="AO382" t="n">
        <v>4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HYPERLINK("https://creighton-primo.hosted.exlibrisgroup.com/primo-explore/search?tab=default_tab&amp;search_scope=EVERYTHING&amp;vid=01CRU&amp;lang=en_US&amp;offset=0&amp;query=any,contains,991001788979702656","Catalog Record")</f>
        <v/>
      </c>
      <c r="AT382">
        <f>HYPERLINK("http://www.worldcat.org/oclc/2463650","WorldCat Record")</f>
        <v/>
      </c>
    </row>
    <row r="383">
      <c r="A383" t="inlineStr">
        <is>
          <t>No</t>
        </is>
      </c>
      <c r="B383" t="inlineStr">
        <is>
          <t>R692 .W66</t>
        </is>
      </c>
      <c r="C383" t="inlineStr">
        <is>
          <t>0                      R  0692000W  66</t>
        </is>
      </c>
      <c r="D383" t="inlineStr">
        <is>
          <t>Women in medicine, 1976 : a report of a Macy conference / edited by Carolyn Spieler.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L383" t="inlineStr">
        <is>
          <t>-- New York : Josiah Macy, Jr. Foundation ; Port Washington, N.Y. : Independent Publishers Group, 1977.</t>
        </is>
      </c>
      <c r="M383" t="inlineStr">
        <is>
          <t>1977</t>
        </is>
      </c>
      <c r="O383" t="inlineStr">
        <is>
          <t>eng</t>
        </is>
      </c>
      <c r="P383" t="inlineStr">
        <is>
          <t>nyu</t>
        </is>
      </c>
      <c r="Q383" t="inlineStr">
        <is>
          <t>Macy Foundation Publication</t>
        </is>
      </c>
      <c r="R383" t="inlineStr">
        <is>
          <t xml:space="preserve">R  </t>
        </is>
      </c>
      <c r="S383" t="n">
        <v>8</v>
      </c>
      <c r="T383" t="n">
        <v>8</v>
      </c>
      <c r="U383" t="inlineStr">
        <is>
          <t>2000-03-27</t>
        </is>
      </c>
      <c r="V383" t="inlineStr">
        <is>
          <t>2000-03-27</t>
        </is>
      </c>
      <c r="W383" t="inlineStr">
        <is>
          <t>1987-10-01</t>
        </is>
      </c>
      <c r="X383" t="inlineStr">
        <is>
          <t>1987-10-01</t>
        </is>
      </c>
      <c r="Y383" t="n">
        <v>195</v>
      </c>
      <c r="Z383" t="n">
        <v>173</v>
      </c>
      <c r="AA383" t="n">
        <v>173</v>
      </c>
      <c r="AB383" t="n">
        <v>1</v>
      </c>
      <c r="AC383" t="n">
        <v>1</v>
      </c>
      <c r="AD383" t="n">
        <v>5</v>
      </c>
      <c r="AE383" t="n">
        <v>5</v>
      </c>
      <c r="AF383" t="n">
        <v>2</v>
      </c>
      <c r="AG383" t="n">
        <v>2</v>
      </c>
      <c r="AH383" t="n">
        <v>1</v>
      </c>
      <c r="AI383" t="n">
        <v>1</v>
      </c>
      <c r="AJ383" t="n">
        <v>3</v>
      </c>
      <c r="AK383" t="n">
        <v>3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HYPERLINK("https://creighton-primo.hosted.exlibrisgroup.com/primo-explore/search?tab=default_tab&amp;search_scope=EVERYTHING&amp;vid=01CRU&amp;lang=en_US&amp;offset=0&amp;query=any,contains,991001178719702656","Catalog Record")</f>
        <v/>
      </c>
      <c r="AT383">
        <f>HYPERLINK("http://www.worldcat.org/oclc/3283532","WorldCat Record")</f>
        <v/>
      </c>
    </row>
    <row r="384">
      <c r="A384" t="inlineStr">
        <is>
          <t>No</t>
        </is>
      </c>
      <c r="B384" t="inlineStr">
        <is>
          <t>R695 .M3</t>
        </is>
      </c>
      <c r="C384" t="inlineStr">
        <is>
          <t>0                      R  0695000M  3</t>
        </is>
      </c>
      <c r="D384" t="inlineStr">
        <is>
          <t>Minorities in medicine : report of a conference.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Macy Conference on Minorities in Medicine (1977 : Williamsburg, Va.)</t>
        </is>
      </c>
      <c r="L384" t="inlineStr">
        <is>
          <t>-- New York : Josiah Macy, Jr. Foundation, 1977.</t>
        </is>
      </c>
      <c r="M384" t="inlineStr">
        <is>
          <t>1977</t>
        </is>
      </c>
      <c r="O384" t="inlineStr">
        <is>
          <t>eng</t>
        </is>
      </c>
      <c r="P384" t="inlineStr">
        <is>
          <t>nyu</t>
        </is>
      </c>
      <c r="R384" t="inlineStr">
        <is>
          <t xml:space="preserve">R  </t>
        </is>
      </c>
      <c r="S384" t="n">
        <v>4</v>
      </c>
      <c r="T384" t="n">
        <v>4</v>
      </c>
      <c r="U384" t="inlineStr">
        <is>
          <t>1992-11-14</t>
        </is>
      </c>
      <c r="V384" t="inlineStr">
        <is>
          <t>1992-11-14</t>
        </is>
      </c>
      <c r="W384" t="inlineStr">
        <is>
          <t>1987-09-30</t>
        </is>
      </c>
      <c r="X384" t="inlineStr">
        <is>
          <t>1987-09-30</t>
        </is>
      </c>
      <c r="Y384" t="n">
        <v>115</v>
      </c>
      <c r="Z384" t="n">
        <v>114</v>
      </c>
      <c r="AA384" t="n">
        <v>116</v>
      </c>
      <c r="AB384" t="n">
        <v>1</v>
      </c>
      <c r="AC384" t="n">
        <v>1</v>
      </c>
      <c r="AD384" t="n">
        <v>9</v>
      </c>
      <c r="AE384" t="n">
        <v>9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9</v>
      </c>
      <c r="AO384" t="n">
        <v>9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HYPERLINK("http://catalog.hathitrust.org/Record/000751497","HathiTrust Record")</f>
        <v/>
      </c>
      <c r="AS384">
        <f>HYPERLINK("https://creighton-primo.hosted.exlibrisgroup.com/primo-explore/search?tab=default_tab&amp;search_scope=EVERYTHING&amp;vid=01CRU&amp;lang=en_US&amp;offset=0&amp;query=any,contains,991001169539702656","Catalog Record")</f>
        <v/>
      </c>
      <c r="AT384">
        <f>HYPERLINK("http://www.worldcat.org/oclc/4499860","WorldCat Record")</f>
        <v/>
      </c>
    </row>
    <row r="385">
      <c r="A385" t="inlineStr">
        <is>
          <t>No</t>
        </is>
      </c>
      <c r="B385" t="inlineStr">
        <is>
          <t>R697.P45 N49</t>
        </is>
      </c>
      <c r="C385" t="inlineStr">
        <is>
          <t>0                      R  0697000P  45                 N  49</t>
        </is>
      </c>
      <c r="D385" t="inlineStr">
        <is>
          <t>The new health professionals : nurse practitioners and physician's assistants / edited by Ann A. Bliss and Eva D. Cohen.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L385" t="inlineStr">
        <is>
          <t>-- Germantown, Md. : Aspen Systems, 1977.</t>
        </is>
      </c>
      <c r="M385" t="inlineStr">
        <is>
          <t>1977</t>
        </is>
      </c>
      <c r="O385" t="inlineStr">
        <is>
          <t>eng</t>
        </is>
      </c>
      <c r="P385" t="inlineStr">
        <is>
          <t>mdu</t>
        </is>
      </c>
      <c r="R385" t="inlineStr">
        <is>
          <t xml:space="preserve">R  </t>
        </is>
      </c>
      <c r="S385" t="n">
        <v>6</v>
      </c>
      <c r="T385" t="n">
        <v>6</v>
      </c>
      <c r="U385" t="inlineStr">
        <is>
          <t>1991-08-04</t>
        </is>
      </c>
      <c r="V385" t="inlineStr">
        <is>
          <t>1991-08-04</t>
        </is>
      </c>
      <c r="W385" t="inlineStr">
        <is>
          <t>1987-10-01</t>
        </is>
      </c>
      <c r="X385" t="inlineStr">
        <is>
          <t>1987-10-01</t>
        </is>
      </c>
      <c r="Y385" t="n">
        <v>364</v>
      </c>
      <c r="Z385" t="n">
        <v>336</v>
      </c>
      <c r="AA385" t="n">
        <v>338</v>
      </c>
      <c r="AB385" t="n">
        <v>2</v>
      </c>
      <c r="AC385" t="n">
        <v>2</v>
      </c>
      <c r="AD385" t="n">
        <v>18</v>
      </c>
      <c r="AE385" t="n">
        <v>18</v>
      </c>
      <c r="AF385" t="n">
        <v>5</v>
      </c>
      <c r="AG385" t="n">
        <v>5</v>
      </c>
      <c r="AH385" t="n">
        <v>4</v>
      </c>
      <c r="AI385" t="n">
        <v>4</v>
      </c>
      <c r="AJ385" t="n">
        <v>12</v>
      </c>
      <c r="AK385" t="n">
        <v>12</v>
      </c>
      <c r="AL385" t="n">
        <v>1</v>
      </c>
      <c r="AM385" t="n">
        <v>1</v>
      </c>
      <c r="AN385" t="n">
        <v>1</v>
      </c>
      <c r="AO385" t="n">
        <v>1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HYPERLINK("http://catalog.hathitrust.org/Record/000214510","HathiTrust Record")</f>
        <v/>
      </c>
      <c r="AS385">
        <f>HYPERLINK("https://creighton-primo.hosted.exlibrisgroup.com/primo-explore/search?tab=default_tab&amp;search_scope=EVERYTHING&amp;vid=01CRU&amp;lang=en_US&amp;offset=0&amp;query=any,contains,991001178109702656","Catalog Record")</f>
        <v/>
      </c>
      <c r="AT385">
        <f>HYPERLINK("http://www.worldcat.org/oclc/2980538","WorldCat Record")</f>
        <v/>
      </c>
    </row>
    <row r="386">
      <c r="A386" t="inlineStr">
        <is>
          <t>No</t>
        </is>
      </c>
      <c r="B386" t="inlineStr">
        <is>
          <t>R723 .C4283 1984</t>
        </is>
      </c>
      <c r="C386" t="inlineStr">
        <is>
          <t>0                      R  0723000C  4283        1984</t>
        </is>
      </c>
      <c r="D386" t="inlineStr">
        <is>
          <t>The place of the humanities in medicine / Eric J. Cassell.</t>
        </is>
      </c>
      <c r="F386" t="inlineStr">
        <is>
          <t>No</t>
        </is>
      </c>
      <c r="G386" t="inlineStr">
        <is>
          <t>1</t>
        </is>
      </c>
      <c r="H386" t="inlineStr">
        <is>
          <t>Yes</t>
        </is>
      </c>
      <c r="I386" t="inlineStr">
        <is>
          <t>No</t>
        </is>
      </c>
      <c r="J386" t="inlineStr">
        <is>
          <t>0</t>
        </is>
      </c>
      <c r="K386" t="inlineStr">
        <is>
          <t>Cassell, Eric J., 1928-</t>
        </is>
      </c>
      <c r="L386" t="inlineStr">
        <is>
          <t>Hastings-on-Hudson, N.Y. : Hastings Center, Institute of Society, Ethics, and Life Sciences, c1984.</t>
        </is>
      </c>
      <c r="M386" t="inlineStr">
        <is>
          <t>1984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R  </t>
        </is>
      </c>
      <c r="S386" t="n">
        <v>2</v>
      </c>
      <c r="T386" t="n">
        <v>5</v>
      </c>
      <c r="U386" t="inlineStr">
        <is>
          <t>1990-02-08</t>
        </is>
      </c>
      <c r="V386" t="inlineStr">
        <is>
          <t>1996-07-25</t>
        </is>
      </c>
      <c r="W386" t="inlineStr">
        <is>
          <t>1987-12-18</t>
        </is>
      </c>
      <c r="X386" t="inlineStr">
        <is>
          <t>1993-03-08</t>
        </is>
      </c>
      <c r="Y386" t="n">
        <v>217</v>
      </c>
      <c r="Z386" t="n">
        <v>195</v>
      </c>
      <c r="AA386" t="n">
        <v>199</v>
      </c>
      <c r="AB386" t="n">
        <v>2</v>
      </c>
      <c r="AC386" t="n">
        <v>2</v>
      </c>
      <c r="AD386" t="n">
        <v>10</v>
      </c>
      <c r="AE386" t="n">
        <v>10</v>
      </c>
      <c r="AF386" t="n">
        <v>3</v>
      </c>
      <c r="AG386" t="n">
        <v>3</v>
      </c>
      <c r="AH386" t="n">
        <v>1</v>
      </c>
      <c r="AI386" t="n">
        <v>1</v>
      </c>
      <c r="AJ386" t="n">
        <v>6</v>
      </c>
      <c r="AK386" t="n">
        <v>6</v>
      </c>
      <c r="AL386" t="n">
        <v>0</v>
      </c>
      <c r="AM386" t="n">
        <v>0</v>
      </c>
      <c r="AN386" t="n">
        <v>3</v>
      </c>
      <c r="AO386" t="n">
        <v>3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HYPERLINK("http://catalog.hathitrust.org/Record/000456801","HathiTrust Record")</f>
        <v/>
      </c>
      <c r="AS386">
        <f>HYPERLINK("https://creighton-primo.hosted.exlibrisgroup.com/primo-explore/search?tab=default_tab&amp;search_scope=EVERYTHING&amp;vid=01CRU&amp;lang=en_US&amp;offset=0&amp;query=any,contains,991001805859702656","Catalog Record")</f>
        <v/>
      </c>
      <c r="AT386">
        <f>HYPERLINK("http://www.worldcat.org/oclc/10780701","WorldCat Record")</f>
        <v/>
      </c>
    </row>
    <row r="387">
      <c r="A387" t="inlineStr">
        <is>
          <t>No</t>
        </is>
      </c>
      <c r="B387" t="inlineStr">
        <is>
          <t>R723 .C84 1982</t>
        </is>
      </c>
      <c r="C387" t="inlineStr">
        <is>
          <t>0                      R  0723000C  84          1982</t>
        </is>
      </c>
      <c r="D387" t="inlineStr">
        <is>
          <t>Philosophy in medicine : conceptual and ethical issues in medicine and psychiatry / Charles M. Culver, Bernard Gert.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Culver, Charles M.</t>
        </is>
      </c>
      <c r="L387" t="inlineStr">
        <is>
          <t>New York : Oxford University Press, 1982.</t>
        </is>
      </c>
      <c r="M387" t="inlineStr">
        <is>
          <t>1982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R  </t>
        </is>
      </c>
      <c r="S387" t="n">
        <v>4</v>
      </c>
      <c r="T387" t="n">
        <v>4</v>
      </c>
      <c r="U387" t="inlineStr">
        <is>
          <t>1996-04-11</t>
        </is>
      </c>
      <c r="V387" t="inlineStr">
        <is>
          <t>1996-04-11</t>
        </is>
      </c>
      <c r="W387" t="inlineStr">
        <is>
          <t>1987-12-18</t>
        </is>
      </c>
      <c r="X387" t="inlineStr">
        <is>
          <t>1987-12-18</t>
        </is>
      </c>
      <c r="Y387" t="n">
        <v>581</v>
      </c>
      <c r="Z387" t="n">
        <v>465</v>
      </c>
      <c r="AA387" t="n">
        <v>474</v>
      </c>
      <c r="AB387" t="n">
        <v>3</v>
      </c>
      <c r="AC387" t="n">
        <v>3</v>
      </c>
      <c r="AD387" t="n">
        <v>25</v>
      </c>
      <c r="AE387" t="n">
        <v>25</v>
      </c>
      <c r="AF387" t="n">
        <v>9</v>
      </c>
      <c r="AG387" t="n">
        <v>9</v>
      </c>
      <c r="AH387" t="n">
        <v>3</v>
      </c>
      <c r="AI387" t="n">
        <v>3</v>
      </c>
      <c r="AJ387" t="n">
        <v>13</v>
      </c>
      <c r="AK387" t="n">
        <v>13</v>
      </c>
      <c r="AL387" t="n">
        <v>1</v>
      </c>
      <c r="AM387" t="n">
        <v>1</v>
      </c>
      <c r="AN387" t="n">
        <v>3</v>
      </c>
      <c r="AO387" t="n">
        <v>3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HYPERLINK("http://catalog.hathitrust.org/Record/000228233","HathiTrust Record")</f>
        <v/>
      </c>
      <c r="AS387">
        <f>HYPERLINK("https://creighton-primo.hosted.exlibrisgroup.com/primo-explore/search?tab=default_tab&amp;search_scope=EVERYTHING&amp;vid=01CRU&amp;lang=en_US&amp;offset=0&amp;query=any,contains,991000155049702656","Catalog Record")</f>
        <v/>
      </c>
      <c r="AT387">
        <f>HYPERLINK("http://www.worldcat.org/oclc/7876456","WorldCat Record")</f>
        <v/>
      </c>
    </row>
    <row r="388">
      <c r="A388" t="inlineStr">
        <is>
          <t>No</t>
        </is>
      </c>
      <c r="B388" t="inlineStr">
        <is>
          <t>R723 .M3</t>
        </is>
      </c>
      <c r="C388" t="inlineStr">
        <is>
          <t>0                      R  0723000M  3</t>
        </is>
      </c>
      <c r="D388" t="inlineStr">
        <is>
          <t>The role of medicine : dream, mirage, or nemesis? / Thomas McKeown.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1</t>
        </is>
      </c>
      <c r="K388" t="inlineStr">
        <is>
          <t>McKeown, Thomas.</t>
        </is>
      </c>
      <c r="L388" t="inlineStr">
        <is>
          <t>Princeton, N.J. : Princeton University Press, c1979.</t>
        </is>
      </c>
      <c r="M388" t="inlineStr">
        <is>
          <t>1979</t>
        </is>
      </c>
      <c r="O388" t="inlineStr">
        <is>
          <t>eng</t>
        </is>
      </c>
      <c r="P388" t="inlineStr">
        <is>
          <t>nju</t>
        </is>
      </c>
      <c r="R388" t="inlineStr">
        <is>
          <t xml:space="preserve">R  </t>
        </is>
      </c>
      <c r="S388" t="n">
        <v>4</v>
      </c>
      <c r="T388" t="n">
        <v>4</v>
      </c>
      <c r="U388" t="inlineStr">
        <is>
          <t>1991-10-25</t>
        </is>
      </c>
      <c r="V388" t="inlineStr">
        <is>
          <t>1991-10-25</t>
        </is>
      </c>
      <c r="W388" t="inlineStr">
        <is>
          <t>1987-12-18</t>
        </is>
      </c>
      <c r="X388" t="inlineStr">
        <is>
          <t>1987-12-18</t>
        </is>
      </c>
      <c r="Y388" t="n">
        <v>390</v>
      </c>
      <c r="Z388" t="n">
        <v>331</v>
      </c>
      <c r="AA388" t="n">
        <v>1040</v>
      </c>
      <c r="AB388" t="n">
        <v>2</v>
      </c>
      <c r="AC388" t="n">
        <v>16</v>
      </c>
      <c r="AD388" t="n">
        <v>13</v>
      </c>
      <c r="AE388" t="n">
        <v>45</v>
      </c>
      <c r="AF388" t="n">
        <v>4</v>
      </c>
      <c r="AG388" t="n">
        <v>16</v>
      </c>
      <c r="AH388" t="n">
        <v>3</v>
      </c>
      <c r="AI388" t="n">
        <v>7</v>
      </c>
      <c r="AJ388" t="n">
        <v>7</v>
      </c>
      <c r="AK388" t="n">
        <v>14</v>
      </c>
      <c r="AL388" t="n">
        <v>1</v>
      </c>
      <c r="AM388" t="n">
        <v>14</v>
      </c>
      <c r="AN388" t="n">
        <v>0</v>
      </c>
      <c r="AO388" t="n">
        <v>1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HYPERLINK("https://creighton-primo.hosted.exlibrisgroup.com/primo-explore/search?tab=default_tab&amp;search_scope=EVERYTHING&amp;vid=01CRU&amp;lang=en_US&amp;offset=0&amp;query=any,contains,991001541799702656","Catalog Record")</f>
        <v/>
      </c>
      <c r="AT388">
        <f>HYPERLINK("http://www.worldcat.org/oclc/5678501","WorldCat Record")</f>
        <v/>
      </c>
    </row>
    <row r="389">
      <c r="A389" t="inlineStr">
        <is>
          <t>No</t>
        </is>
      </c>
      <c r="B389" t="inlineStr">
        <is>
          <t>R723 .P38</t>
        </is>
      </c>
      <c r="C389" t="inlineStr">
        <is>
          <t>0                      R  0723000P  38</t>
        </is>
      </c>
      <c r="D389" t="inlineStr">
        <is>
          <t>Humanism and the physician / Edmund D. Pellegrino.</t>
        </is>
      </c>
      <c r="F389" t="inlineStr">
        <is>
          <t>No</t>
        </is>
      </c>
      <c r="G389" t="inlineStr">
        <is>
          <t>1</t>
        </is>
      </c>
      <c r="H389" t="inlineStr">
        <is>
          <t>Yes</t>
        </is>
      </c>
      <c r="I389" t="inlineStr">
        <is>
          <t>No</t>
        </is>
      </c>
      <c r="J389" t="inlineStr">
        <is>
          <t>0</t>
        </is>
      </c>
      <c r="K389" t="inlineStr">
        <is>
          <t>Pellegrino, Edmund D., 1920-2013.</t>
        </is>
      </c>
      <c r="L389" t="inlineStr">
        <is>
          <t>Knoxville : University of Tennessee Press, c1979.</t>
        </is>
      </c>
      <c r="M389" t="inlineStr">
        <is>
          <t>1979</t>
        </is>
      </c>
      <c r="N389" t="inlineStr">
        <is>
          <t>1st ed.</t>
        </is>
      </c>
      <c r="O389" t="inlineStr">
        <is>
          <t>eng</t>
        </is>
      </c>
      <c r="P389" t="inlineStr">
        <is>
          <t>tnu</t>
        </is>
      </c>
      <c r="R389" t="inlineStr">
        <is>
          <t xml:space="preserve">R  </t>
        </is>
      </c>
      <c r="S389" t="n">
        <v>7</v>
      </c>
      <c r="T389" t="n">
        <v>11</v>
      </c>
      <c r="U389" t="inlineStr">
        <is>
          <t>2006-08-06</t>
        </is>
      </c>
      <c r="V389" t="inlineStr">
        <is>
          <t>2006-08-06</t>
        </is>
      </c>
      <c r="W389" t="inlineStr">
        <is>
          <t>1987-12-18</t>
        </is>
      </c>
      <c r="X389" t="inlineStr">
        <is>
          <t>1992-04-13</t>
        </is>
      </c>
      <c r="Y389" t="n">
        <v>492</v>
      </c>
      <c r="Z389" t="n">
        <v>445</v>
      </c>
      <c r="AA389" t="n">
        <v>448</v>
      </c>
      <c r="AB389" t="n">
        <v>4</v>
      </c>
      <c r="AC389" t="n">
        <v>4</v>
      </c>
      <c r="AD389" t="n">
        <v>28</v>
      </c>
      <c r="AE389" t="n">
        <v>29</v>
      </c>
      <c r="AF389" t="n">
        <v>8</v>
      </c>
      <c r="AG389" t="n">
        <v>9</v>
      </c>
      <c r="AH389" t="n">
        <v>8</v>
      </c>
      <c r="AI389" t="n">
        <v>8</v>
      </c>
      <c r="AJ389" t="n">
        <v>16</v>
      </c>
      <c r="AK389" t="n">
        <v>17</v>
      </c>
      <c r="AL389" t="n">
        <v>2</v>
      </c>
      <c r="AM389" t="n">
        <v>2</v>
      </c>
      <c r="AN389" t="n">
        <v>2</v>
      </c>
      <c r="AO389" t="n">
        <v>2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HYPERLINK("https://creighton-primo.hosted.exlibrisgroup.com/primo-explore/search?tab=default_tab&amp;search_scope=EVERYTHING&amp;vid=01CRU&amp;lang=en_US&amp;offset=0&amp;query=any,contains,991001805989702656","Catalog Record")</f>
        <v/>
      </c>
      <c r="AT389">
        <f>HYPERLINK("http://www.worldcat.org/oclc/4504498","WorldCat Record")</f>
        <v/>
      </c>
    </row>
    <row r="390">
      <c r="A390" t="inlineStr">
        <is>
          <t>No</t>
        </is>
      </c>
      <c r="B390" t="inlineStr">
        <is>
          <t>R724 .A32 1992</t>
        </is>
      </c>
      <c r="C390" t="inlineStr">
        <is>
          <t>0                      R  0724000A  32          1992</t>
        </is>
      </c>
      <c r="D390" t="inlineStr">
        <is>
          <t>African-American perspectives on biomedical ethics / edited by Harley E. Flack and Edmund D. Pellegrino ; with editorial assistance by Dennis McManus.</t>
        </is>
      </c>
      <c r="F390" t="inlineStr">
        <is>
          <t>No</t>
        </is>
      </c>
      <c r="G390" t="inlineStr">
        <is>
          <t>1</t>
        </is>
      </c>
      <c r="H390" t="inlineStr">
        <is>
          <t>Yes</t>
        </is>
      </c>
      <c r="I390" t="inlineStr">
        <is>
          <t>No</t>
        </is>
      </c>
      <c r="J390" t="inlineStr">
        <is>
          <t>0</t>
        </is>
      </c>
      <c r="L390" t="inlineStr">
        <is>
          <t>Washington, D.C. : Georgetown University Press, c1992.</t>
        </is>
      </c>
      <c r="M390" t="inlineStr">
        <is>
          <t>1992</t>
        </is>
      </c>
      <c r="O390" t="inlineStr">
        <is>
          <t>eng</t>
        </is>
      </c>
      <c r="P390" t="inlineStr">
        <is>
          <t>dcu</t>
        </is>
      </c>
      <c r="R390" t="inlineStr">
        <is>
          <t xml:space="preserve">R  </t>
        </is>
      </c>
      <c r="S390" t="n">
        <v>6</v>
      </c>
      <c r="T390" t="n">
        <v>6</v>
      </c>
      <c r="U390" t="inlineStr">
        <is>
          <t>2002-04-01</t>
        </is>
      </c>
      <c r="V390" t="inlineStr">
        <is>
          <t>2002-04-01</t>
        </is>
      </c>
      <c r="W390" t="inlineStr">
        <is>
          <t>1998-03-19</t>
        </is>
      </c>
      <c r="X390" t="inlineStr">
        <is>
          <t>2010-03-31</t>
        </is>
      </c>
      <c r="Y390" t="n">
        <v>376</v>
      </c>
      <c r="Z390" t="n">
        <v>352</v>
      </c>
      <c r="AA390" t="n">
        <v>358</v>
      </c>
      <c r="AB390" t="n">
        <v>2</v>
      </c>
      <c r="AC390" t="n">
        <v>2</v>
      </c>
      <c r="AD390" t="n">
        <v>21</v>
      </c>
      <c r="AE390" t="n">
        <v>22</v>
      </c>
      <c r="AF390" t="n">
        <v>5</v>
      </c>
      <c r="AG390" t="n">
        <v>5</v>
      </c>
      <c r="AH390" t="n">
        <v>6</v>
      </c>
      <c r="AI390" t="n">
        <v>7</v>
      </c>
      <c r="AJ390" t="n">
        <v>13</v>
      </c>
      <c r="AK390" t="n">
        <v>14</v>
      </c>
      <c r="AL390" t="n">
        <v>0</v>
      </c>
      <c r="AM390" t="n">
        <v>0</v>
      </c>
      <c r="AN390" t="n">
        <v>5</v>
      </c>
      <c r="AO390" t="n">
        <v>5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HYPERLINK("http://catalog.hathitrust.org/Record/002712368","HathiTrust Record")</f>
        <v/>
      </c>
      <c r="AS390">
        <f>HYPERLINK("https://creighton-primo.hosted.exlibrisgroup.com/primo-explore/search?tab=default_tab&amp;search_scope=EVERYTHING&amp;vid=01CRU&amp;lang=en_US&amp;offset=0&amp;query=any,contains,991001793489702656","Catalog Record")</f>
        <v/>
      </c>
      <c r="AT390">
        <f>HYPERLINK("http://www.worldcat.org/oclc/25964595","WorldCat Record")</f>
        <v/>
      </c>
    </row>
    <row r="391">
      <c r="A391" t="inlineStr">
        <is>
          <t>No</t>
        </is>
      </c>
      <c r="B391" t="inlineStr">
        <is>
          <t>R724 .B46</t>
        </is>
      </c>
      <c r="C391" t="inlineStr">
        <is>
          <t>0                      R  0724000B  46</t>
        </is>
      </c>
      <c r="D391" t="inlineStr">
        <is>
          <t>Bioethics and human rights : a reader for health professionals / edited by Elsie L. Bandman, Bertram Bandman.</t>
        </is>
      </c>
      <c r="F391" t="inlineStr">
        <is>
          <t>No</t>
        </is>
      </c>
      <c r="G391" t="inlineStr">
        <is>
          <t>1</t>
        </is>
      </c>
      <c r="H391" t="inlineStr">
        <is>
          <t>Yes</t>
        </is>
      </c>
      <c r="I391" t="inlineStr">
        <is>
          <t>No</t>
        </is>
      </c>
      <c r="J391" t="inlineStr">
        <is>
          <t>0</t>
        </is>
      </c>
      <c r="L391" t="inlineStr">
        <is>
          <t>Boston : Little, Brown, c1978.</t>
        </is>
      </c>
      <c r="M391" t="inlineStr">
        <is>
          <t>1978</t>
        </is>
      </c>
      <c r="N391" t="inlineStr">
        <is>
          <t>1st ed.</t>
        </is>
      </c>
      <c r="O391" t="inlineStr">
        <is>
          <t>eng</t>
        </is>
      </c>
      <c r="P391" t="inlineStr">
        <is>
          <t>mau</t>
        </is>
      </c>
      <c r="R391" t="inlineStr">
        <is>
          <t xml:space="preserve">R  </t>
        </is>
      </c>
      <c r="S391" t="n">
        <v>7</v>
      </c>
      <c r="T391" t="n">
        <v>30</v>
      </c>
      <c r="U391" t="inlineStr">
        <is>
          <t>1992-09-06</t>
        </is>
      </c>
      <c r="V391" t="inlineStr">
        <is>
          <t>2004-02-17</t>
        </is>
      </c>
      <c r="W391" t="inlineStr">
        <is>
          <t>1987-09-22</t>
        </is>
      </c>
      <c r="X391" t="inlineStr">
        <is>
          <t>1991-12-06</t>
        </is>
      </c>
      <c r="Y391" t="n">
        <v>573</v>
      </c>
      <c r="Z391" t="n">
        <v>500</v>
      </c>
      <c r="AA391" t="n">
        <v>535</v>
      </c>
      <c r="AB391" t="n">
        <v>5</v>
      </c>
      <c r="AC391" t="n">
        <v>5</v>
      </c>
      <c r="AD391" t="n">
        <v>34</v>
      </c>
      <c r="AE391" t="n">
        <v>35</v>
      </c>
      <c r="AF391" t="n">
        <v>14</v>
      </c>
      <c r="AG391" t="n">
        <v>14</v>
      </c>
      <c r="AH391" t="n">
        <v>4</v>
      </c>
      <c r="AI391" t="n">
        <v>5</v>
      </c>
      <c r="AJ391" t="n">
        <v>18</v>
      </c>
      <c r="AK391" t="n">
        <v>18</v>
      </c>
      <c r="AL391" t="n">
        <v>2</v>
      </c>
      <c r="AM391" t="n">
        <v>2</v>
      </c>
      <c r="AN391" t="n">
        <v>5</v>
      </c>
      <c r="AO391" t="n">
        <v>5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HYPERLINK("http://catalog.hathitrust.org/Record/000223371","HathiTrust Record")</f>
        <v/>
      </c>
      <c r="AS391">
        <f>HYPERLINK("https://creighton-primo.hosted.exlibrisgroup.com/primo-explore/search?tab=default_tab&amp;search_scope=EVERYTHING&amp;vid=01CRU&amp;lang=en_US&amp;offset=0&amp;query=any,contains,991001759909702656","Catalog Record")</f>
        <v/>
      </c>
      <c r="AT391">
        <f>HYPERLINK("http://www.worldcat.org/oclc/4262774","WorldCat Record")</f>
        <v/>
      </c>
    </row>
    <row r="392">
      <c r="A392" t="inlineStr">
        <is>
          <t>No</t>
        </is>
      </c>
      <c r="B392" t="inlineStr">
        <is>
          <t>R724 .B47</t>
        </is>
      </c>
      <c r="C392" t="inlineStr">
        <is>
          <t>0                      R  0724000B  47</t>
        </is>
      </c>
      <c r="D392" t="inlineStr">
        <is>
          <t>Bioethics : basic writings on the key ethical questions that surround the major, modern biological possibilities and problems / edited by Thomas A. Shannon.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Yes</t>
        </is>
      </c>
      <c r="J392" t="inlineStr">
        <is>
          <t>0</t>
        </is>
      </c>
      <c r="L392" t="inlineStr">
        <is>
          <t>New York : Paulist Press, c1976.</t>
        </is>
      </c>
      <c r="M392" t="inlineStr">
        <is>
          <t>1976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R  </t>
        </is>
      </c>
      <c r="S392" t="n">
        <v>12</v>
      </c>
      <c r="T392" t="n">
        <v>12</v>
      </c>
      <c r="U392" t="inlineStr">
        <is>
          <t>2000-03-08</t>
        </is>
      </c>
      <c r="V392" t="inlineStr">
        <is>
          <t>2000-03-08</t>
        </is>
      </c>
      <c r="W392" t="inlineStr">
        <is>
          <t>1987-10-02</t>
        </is>
      </c>
      <c r="X392" t="inlineStr">
        <is>
          <t>1987-10-02</t>
        </is>
      </c>
      <c r="Y392" t="n">
        <v>620</v>
      </c>
      <c r="Z392" t="n">
        <v>544</v>
      </c>
      <c r="AA392" t="n">
        <v>1001</v>
      </c>
      <c r="AB392" t="n">
        <v>7</v>
      </c>
      <c r="AC392" t="n">
        <v>12</v>
      </c>
      <c r="AD392" t="n">
        <v>27</v>
      </c>
      <c r="AE392" t="n">
        <v>55</v>
      </c>
      <c r="AF392" t="n">
        <v>7</v>
      </c>
      <c r="AG392" t="n">
        <v>18</v>
      </c>
      <c r="AH392" t="n">
        <v>6</v>
      </c>
      <c r="AI392" t="n">
        <v>10</v>
      </c>
      <c r="AJ392" t="n">
        <v>11</v>
      </c>
      <c r="AK392" t="n">
        <v>25</v>
      </c>
      <c r="AL392" t="n">
        <v>4</v>
      </c>
      <c r="AM392" t="n">
        <v>7</v>
      </c>
      <c r="AN392" t="n">
        <v>4</v>
      </c>
      <c r="AO392" t="n">
        <v>7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HYPERLINK("http://catalog.hathitrust.org/Record/000129143","HathiTrust Record")</f>
        <v/>
      </c>
      <c r="AS392">
        <f>HYPERLINK("https://creighton-primo.hosted.exlibrisgroup.com/primo-explore/search?tab=default_tab&amp;search_scope=EVERYTHING&amp;vid=01CRU&amp;lang=en_US&amp;offset=0&amp;query=any,contains,991001183029702656","Catalog Record")</f>
        <v/>
      </c>
      <c r="AT392">
        <f>HYPERLINK("http://www.worldcat.org/oclc/2639189","WorldCat Record")</f>
        <v/>
      </c>
    </row>
    <row r="393">
      <c r="A393" t="inlineStr">
        <is>
          <t>No</t>
        </is>
      </c>
      <c r="B393" t="inlineStr">
        <is>
          <t>R724 .C48</t>
        </is>
      </c>
      <c r="C393" t="inlineStr">
        <is>
          <t>0                      R  0724000C  48</t>
        </is>
      </c>
      <c r="D393" t="inlineStr">
        <is>
          <t>Priorities in biomedical ethics / by James F. Childress.</t>
        </is>
      </c>
      <c r="F393" t="inlineStr">
        <is>
          <t>No</t>
        </is>
      </c>
      <c r="G393" t="inlineStr">
        <is>
          <t>1</t>
        </is>
      </c>
      <c r="H393" t="inlineStr">
        <is>
          <t>Yes</t>
        </is>
      </c>
      <c r="I393" t="inlineStr">
        <is>
          <t>No</t>
        </is>
      </c>
      <c r="J393" t="inlineStr">
        <is>
          <t>0</t>
        </is>
      </c>
      <c r="K393" t="inlineStr">
        <is>
          <t>Childress, James F.</t>
        </is>
      </c>
      <c r="L393" t="inlineStr">
        <is>
          <t>Philadelphia : Westminster Press, c1981.</t>
        </is>
      </c>
      <c r="M393" t="inlineStr">
        <is>
          <t>1981</t>
        </is>
      </c>
      <c r="N393" t="inlineStr">
        <is>
          <t>1st ed.</t>
        </is>
      </c>
      <c r="O393" t="inlineStr">
        <is>
          <t>eng</t>
        </is>
      </c>
      <c r="P393" t="inlineStr">
        <is>
          <t>pau</t>
        </is>
      </c>
      <c r="R393" t="inlineStr">
        <is>
          <t xml:space="preserve">R  </t>
        </is>
      </c>
      <c r="S393" t="n">
        <v>7</v>
      </c>
      <c r="T393" t="n">
        <v>24</v>
      </c>
      <c r="U393" t="inlineStr">
        <is>
          <t>2000-04-12</t>
        </is>
      </c>
      <c r="V393" t="inlineStr">
        <is>
          <t>2003-04-16</t>
        </is>
      </c>
      <c r="W393" t="inlineStr">
        <is>
          <t>1987-10-05</t>
        </is>
      </c>
      <c r="X393" t="inlineStr">
        <is>
          <t>1990-07-20</t>
        </is>
      </c>
      <c r="Y393" t="n">
        <v>759</v>
      </c>
      <c r="Z393" t="n">
        <v>674</v>
      </c>
      <c r="AA393" t="n">
        <v>674</v>
      </c>
      <c r="AB393" t="n">
        <v>6</v>
      </c>
      <c r="AC393" t="n">
        <v>6</v>
      </c>
      <c r="AD393" t="n">
        <v>30</v>
      </c>
      <c r="AE393" t="n">
        <v>30</v>
      </c>
      <c r="AF393" t="n">
        <v>14</v>
      </c>
      <c r="AG393" t="n">
        <v>14</v>
      </c>
      <c r="AH393" t="n">
        <v>4</v>
      </c>
      <c r="AI393" t="n">
        <v>4</v>
      </c>
      <c r="AJ393" t="n">
        <v>17</v>
      </c>
      <c r="AK393" t="n">
        <v>17</v>
      </c>
      <c r="AL393" t="n">
        <v>3</v>
      </c>
      <c r="AM393" t="n">
        <v>3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HYPERLINK("http://catalog.hathitrust.org/Record/010593937","HathiTrust Record")</f>
        <v/>
      </c>
      <c r="AS393">
        <f>HYPERLINK("https://creighton-primo.hosted.exlibrisgroup.com/primo-explore/search?tab=default_tab&amp;search_scope=EVERYTHING&amp;vid=01CRU&amp;lang=en_US&amp;offset=0&amp;query=any,contains,991001760449702656","Catalog Record")</f>
        <v/>
      </c>
      <c r="AT393">
        <f>HYPERLINK("http://www.worldcat.org/oclc/7197146","WorldCat Record")</f>
        <v/>
      </c>
    </row>
    <row r="394">
      <c r="A394" t="inlineStr">
        <is>
          <t>No</t>
        </is>
      </c>
      <c r="B394" t="inlineStr">
        <is>
          <t>R724 .D48 1995</t>
        </is>
      </c>
      <c r="C394" t="inlineStr">
        <is>
          <t>0                      R  0724000D  48          1995</t>
        </is>
      </c>
      <c r="D394" t="inlineStr">
        <is>
          <t>Practical decision making in health care ethics : cases and concepts / Raymond J. Devettere.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Yes</t>
        </is>
      </c>
      <c r="J394" t="inlineStr">
        <is>
          <t>1</t>
        </is>
      </c>
      <c r="K394" t="inlineStr">
        <is>
          <t>Devettere, Raymond J.</t>
        </is>
      </c>
      <c r="L394" t="inlineStr">
        <is>
          <t>Washington, D.C. : Georgetown University Press, c1995.</t>
        </is>
      </c>
      <c r="M394" t="inlineStr">
        <is>
          <t>1995</t>
        </is>
      </c>
      <c r="O394" t="inlineStr">
        <is>
          <t>eng</t>
        </is>
      </c>
      <c r="P394" t="inlineStr">
        <is>
          <t>dcu</t>
        </is>
      </c>
      <c r="R394" t="inlineStr">
        <is>
          <t xml:space="preserve">R  </t>
        </is>
      </c>
      <c r="S394" t="n">
        <v>21</v>
      </c>
      <c r="T394" t="n">
        <v>21</v>
      </c>
      <c r="U394" t="inlineStr">
        <is>
          <t>2005-10-19</t>
        </is>
      </c>
      <c r="V394" t="inlineStr">
        <is>
          <t>2005-10-19</t>
        </is>
      </c>
      <c r="W394" t="inlineStr">
        <is>
          <t>1997-12-15</t>
        </is>
      </c>
      <c r="X394" t="inlineStr">
        <is>
          <t>1997-12-15</t>
        </is>
      </c>
      <c r="Y394" t="n">
        <v>358</v>
      </c>
      <c r="Z394" t="n">
        <v>301</v>
      </c>
      <c r="AA394" t="n">
        <v>1876</v>
      </c>
      <c r="AB394" t="n">
        <v>1</v>
      </c>
      <c r="AC394" t="n">
        <v>16</v>
      </c>
      <c r="AD394" t="n">
        <v>17</v>
      </c>
      <c r="AE394" t="n">
        <v>69</v>
      </c>
      <c r="AF394" t="n">
        <v>2</v>
      </c>
      <c r="AG394" t="n">
        <v>21</v>
      </c>
      <c r="AH394" t="n">
        <v>2</v>
      </c>
      <c r="AI394" t="n">
        <v>12</v>
      </c>
      <c r="AJ394" t="n">
        <v>6</v>
      </c>
      <c r="AK394" t="n">
        <v>23</v>
      </c>
      <c r="AL394" t="n">
        <v>0</v>
      </c>
      <c r="AM394" t="n">
        <v>14</v>
      </c>
      <c r="AN394" t="n">
        <v>8</v>
      </c>
      <c r="AO394" t="n">
        <v>10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HYPERLINK("http://catalog.hathitrust.org/Record/003092627","HathiTrust Record")</f>
        <v/>
      </c>
      <c r="AS394">
        <f>HYPERLINK("https://creighton-primo.hosted.exlibrisgroup.com/primo-explore/search?tab=default_tab&amp;search_scope=EVERYTHING&amp;vid=01CRU&amp;lang=en_US&amp;offset=0&amp;query=any,contains,991001199159702656","Catalog Record")</f>
        <v/>
      </c>
      <c r="AT394">
        <f>HYPERLINK("http://www.worldcat.org/oclc/32052914","WorldCat Record")</f>
        <v/>
      </c>
    </row>
    <row r="395">
      <c r="A395" t="inlineStr">
        <is>
          <t>No</t>
        </is>
      </c>
      <c r="B395" t="inlineStr">
        <is>
          <t>R724 .D73 1988</t>
        </is>
      </c>
      <c r="C395" t="inlineStr">
        <is>
          <t>0                      R  0724000D  73          1988</t>
        </is>
      </c>
      <c r="D395" t="inlineStr">
        <is>
          <t>Becoming a good doctor : the place of virtue and character in medical ethics / James F. Drane.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Drane, James F.</t>
        </is>
      </c>
      <c r="L395" t="inlineStr">
        <is>
          <t>Kansas City, MO : Sheed &amp; Ward, c1988.</t>
        </is>
      </c>
      <c r="M395" t="inlineStr">
        <is>
          <t>1988</t>
        </is>
      </c>
      <c r="O395" t="inlineStr">
        <is>
          <t>eng</t>
        </is>
      </c>
      <c r="P395" t="inlineStr">
        <is>
          <t>mou</t>
        </is>
      </c>
      <c r="R395" t="inlineStr">
        <is>
          <t xml:space="preserve">R  </t>
        </is>
      </c>
      <c r="S395" t="n">
        <v>10</v>
      </c>
      <c r="T395" t="n">
        <v>10</v>
      </c>
      <c r="U395" t="inlineStr">
        <is>
          <t>2005-10-12</t>
        </is>
      </c>
      <c r="V395" t="inlineStr">
        <is>
          <t>2005-10-12</t>
        </is>
      </c>
      <c r="W395" t="inlineStr">
        <is>
          <t>1989-04-24</t>
        </is>
      </c>
      <c r="X395" t="inlineStr">
        <is>
          <t>1989-04-24</t>
        </is>
      </c>
      <c r="Y395" t="n">
        <v>188</v>
      </c>
      <c r="Z395" t="n">
        <v>160</v>
      </c>
      <c r="AA395" t="n">
        <v>193</v>
      </c>
      <c r="AB395" t="n">
        <v>1</v>
      </c>
      <c r="AC395" t="n">
        <v>2</v>
      </c>
      <c r="AD395" t="n">
        <v>10</v>
      </c>
      <c r="AE395" t="n">
        <v>17</v>
      </c>
      <c r="AF395" t="n">
        <v>3</v>
      </c>
      <c r="AG395" t="n">
        <v>6</v>
      </c>
      <c r="AH395" t="n">
        <v>1</v>
      </c>
      <c r="AI395" t="n">
        <v>3</v>
      </c>
      <c r="AJ395" t="n">
        <v>7</v>
      </c>
      <c r="AK395" t="n">
        <v>9</v>
      </c>
      <c r="AL395" t="n">
        <v>0</v>
      </c>
      <c r="AM395" t="n">
        <v>1</v>
      </c>
      <c r="AN395" t="n">
        <v>1</v>
      </c>
      <c r="AO395" t="n">
        <v>1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HYPERLINK("http://catalog.hathitrust.org/Record/002055900","HathiTrust Record")</f>
        <v/>
      </c>
      <c r="AS395">
        <f>HYPERLINK("https://creighton-primo.hosted.exlibrisgroup.com/primo-explore/search?tab=default_tab&amp;search_scope=EVERYTHING&amp;vid=01CRU&amp;lang=en_US&amp;offset=0&amp;query=any,contains,991001244819702656","Catalog Record")</f>
        <v/>
      </c>
      <c r="AT395">
        <f>HYPERLINK("http://www.worldcat.org/oclc/19116209","WorldCat Record")</f>
        <v/>
      </c>
    </row>
    <row r="396">
      <c r="A396" t="inlineStr">
        <is>
          <t>No</t>
        </is>
      </c>
      <c r="B396" t="inlineStr">
        <is>
          <t>R724 .E54 1996</t>
        </is>
      </c>
      <c r="C396" t="inlineStr">
        <is>
          <t>0                      R  0724000E  54          1996</t>
        </is>
      </c>
      <c r="D396" t="inlineStr">
        <is>
          <t>The foundation of bioethics / H. Tristram Engelhardt, Jr.</t>
        </is>
      </c>
      <c r="F396" t="inlineStr">
        <is>
          <t>No</t>
        </is>
      </c>
      <c r="G396" t="inlineStr">
        <is>
          <t>1</t>
        </is>
      </c>
      <c r="H396" t="inlineStr">
        <is>
          <t>Yes</t>
        </is>
      </c>
      <c r="I396" t="inlineStr">
        <is>
          <t>Yes</t>
        </is>
      </c>
      <c r="J396" t="inlineStr">
        <is>
          <t>0</t>
        </is>
      </c>
      <c r="K396" t="inlineStr">
        <is>
          <t>Engelhardt, H. Tristram (Hugo Tristram), Jr., 1941-2018.</t>
        </is>
      </c>
      <c r="L396" t="inlineStr">
        <is>
          <t>New York : Oxford University Press, 1996.</t>
        </is>
      </c>
      <c r="M396" t="inlineStr">
        <is>
          <t>1996</t>
        </is>
      </c>
      <c r="N396" t="inlineStr">
        <is>
          <t>2nd ed.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R  </t>
        </is>
      </c>
      <c r="S396" t="n">
        <v>26</v>
      </c>
      <c r="T396" t="n">
        <v>34</v>
      </c>
      <c r="U396" t="inlineStr">
        <is>
          <t>2006-10-02</t>
        </is>
      </c>
      <c r="V396" t="inlineStr">
        <is>
          <t>2006-10-02</t>
        </is>
      </c>
      <c r="W396" t="inlineStr">
        <is>
          <t>1997-01-23</t>
        </is>
      </c>
      <c r="X396" t="inlineStr">
        <is>
          <t>2000-03-16</t>
        </is>
      </c>
      <c r="Y396" t="n">
        <v>659</v>
      </c>
      <c r="Z396" t="n">
        <v>514</v>
      </c>
      <c r="AA396" t="n">
        <v>1398</v>
      </c>
      <c r="AB396" t="n">
        <v>4</v>
      </c>
      <c r="AC396" t="n">
        <v>14</v>
      </c>
      <c r="AD396" t="n">
        <v>36</v>
      </c>
      <c r="AE396" t="n">
        <v>73</v>
      </c>
      <c r="AF396" t="n">
        <v>11</v>
      </c>
      <c r="AG396" t="n">
        <v>22</v>
      </c>
      <c r="AH396" t="n">
        <v>8</v>
      </c>
      <c r="AI396" t="n">
        <v>12</v>
      </c>
      <c r="AJ396" t="n">
        <v>19</v>
      </c>
      <c r="AK396" t="n">
        <v>28</v>
      </c>
      <c r="AL396" t="n">
        <v>1</v>
      </c>
      <c r="AM396" t="n">
        <v>10</v>
      </c>
      <c r="AN396" t="n">
        <v>8</v>
      </c>
      <c r="AO396" t="n">
        <v>14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HYPERLINK("http://catalog.hathitrust.org/Record/003019249","HathiTrust Record")</f>
        <v/>
      </c>
      <c r="AS396">
        <f>HYPERLINK("https://creighton-primo.hosted.exlibrisgroup.com/primo-explore/search?tab=default_tab&amp;search_scope=EVERYTHING&amp;vid=01CRU&amp;lang=en_US&amp;offset=0&amp;query=any,contains,991001664979702656","Catalog Record")</f>
        <v/>
      </c>
      <c r="AT396">
        <f>HYPERLINK("http://www.worldcat.org/oclc/31646988","WorldCat Record")</f>
        <v/>
      </c>
    </row>
    <row r="397">
      <c r="A397" t="inlineStr">
        <is>
          <t>No</t>
        </is>
      </c>
      <c r="B397" t="inlineStr">
        <is>
          <t>R724 .E823</t>
        </is>
      </c>
      <c r="C397" t="inlineStr">
        <is>
          <t>0                      R  0724000E  823</t>
        </is>
      </c>
      <c r="D397" t="inlineStr">
        <is>
          <t>Ethics in medicine : historical perspectives and contemporary concerns / edited by Stanley Joel Reiser, Arthur J. Dyck, and William J. Curran.</t>
        </is>
      </c>
      <c r="F397" t="inlineStr">
        <is>
          <t>No</t>
        </is>
      </c>
      <c r="G397" t="inlineStr">
        <is>
          <t>1</t>
        </is>
      </c>
      <c r="H397" t="inlineStr">
        <is>
          <t>Yes</t>
        </is>
      </c>
      <c r="I397" t="inlineStr">
        <is>
          <t>No</t>
        </is>
      </c>
      <c r="J397" t="inlineStr">
        <is>
          <t>0</t>
        </is>
      </c>
      <c r="L397" t="inlineStr">
        <is>
          <t>Cambridge, Mass. : MIT Press, c1977.</t>
        </is>
      </c>
      <c r="M397" t="inlineStr">
        <is>
          <t>1977</t>
        </is>
      </c>
      <c r="O397" t="inlineStr">
        <is>
          <t>eng</t>
        </is>
      </c>
      <c r="P397" t="inlineStr">
        <is>
          <t>mau</t>
        </is>
      </c>
      <c r="R397" t="inlineStr">
        <is>
          <t xml:space="preserve">R  </t>
        </is>
      </c>
      <c r="S397" t="n">
        <v>11</v>
      </c>
      <c r="T397" t="n">
        <v>19</v>
      </c>
      <c r="U397" t="inlineStr">
        <is>
          <t>1999-04-27</t>
        </is>
      </c>
      <c r="V397" t="inlineStr">
        <is>
          <t>2008-06-04</t>
        </is>
      </c>
      <c r="W397" t="inlineStr">
        <is>
          <t>1988-03-03</t>
        </is>
      </c>
      <c r="X397" t="inlineStr">
        <is>
          <t>1993-04-28</t>
        </is>
      </c>
      <c r="Y397" t="n">
        <v>971</v>
      </c>
      <c r="Z397" t="n">
        <v>833</v>
      </c>
      <c r="AA397" t="n">
        <v>850</v>
      </c>
      <c r="AB397" t="n">
        <v>4</v>
      </c>
      <c r="AC397" t="n">
        <v>4</v>
      </c>
      <c r="AD397" t="n">
        <v>46</v>
      </c>
      <c r="AE397" t="n">
        <v>46</v>
      </c>
      <c r="AF397" t="n">
        <v>16</v>
      </c>
      <c r="AG397" t="n">
        <v>16</v>
      </c>
      <c r="AH397" t="n">
        <v>8</v>
      </c>
      <c r="AI397" t="n">
        <v>8</v>
      </c>
      <c r="AJ397" t="n">
        <v>19</v>
      </c>
      <c r="AK397" t="n">
        <v>19</v>
      </c>
      <c r="AL397" t="n">
        <v>2</v>
      </c>
      <c r="AM397" t="n">
        <v>2</v>
      </c>
      <c r="AN397" t="n">
        <v>10</v>
      </c>
      <c r="AO397" t="n">
        <v>10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HYPERLINK("http://catalog.hathitrust.org/Record/000173223","HathiTrust Record")</f>
        <v/>
      </c>
      <c r="AS397">
        <f>HYPERLINK("https://creighton-primo.hosted.exlibrisgroup.com/primo-explore/search?tab=default_tab&amp;search_scope=EVERYTHING&amp;vid=01CRU&amp;lang=en_US&amp;offset=0&amp;query=any,contains,991001788119702656","Catalog Record")</f>
        <v/>
      </c>
      <c r="AT397">
        <f>HYPERLINK("http://www.worldcat.org/oclc/2797893","WorldCat Record")</f>
        <v/>
      </c>
    </row>
    <row r="398">
      <c r="A398" t="inlineStr">
        <is>
          <t>No</t>
        </is>
      </c>
      <c r="B398" t="inlineStr">
        <is>
          <t>R724 .F395 1996</t>
        </is>
      </c>
      <c r="C398" t="inlineStr">
        <is>
          <t>0                      R  0724000F  395         1996</t>
        </is>
      </c>
      <c r="D398" t="inlineStr">
        <is>
          <t>Feminism &amp; bioethics : beyond reproduction / edited by Susan M. Wolf.</t>
        </is>
      </c>
      <c r="F398" t="inlineStr">
        <is>
          <t>No</t>
        </is>
      </c>
      <c r="G398" t="inlineStr">
        <is>
          <t>1</t>
        </is>
      </c>
      <c r="H398" t="inlineStr">
        <is>
          <t>Yes</t>
        </is>
      </c>
      <c r="I398" t="inlineStr">
        <is>
          <t>No</t>
        </is>
      </c>
      <c r="J398" t="inlineStr">
        <is>
          <t>1</t>
        </is>
      </c>
      <c r="L398" t="inlineStr">
        <is>
          <t>New York : Oxford University Press, 1996.</t>
        </is>
      </c>
      <c r="M398" t="inlineStr">
        <is>
          <t>1996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R  </t>
        </is>
      </c>
      <c r="S398" t="n">
        <v>9</v>
      </c>
      <c r="T398" t="n">
        <v>10</v>
      </c>
      <c r="U398" t="inlineStr">
        <is>
          <t>2004-04-15</t>
        </is>
      </c>
      <c r="V398" t="inlineStr">
        <is>
          <t>2009-04-02</t>
        </is>
      </c>
      <c r="W398" t="inlineStr">
        <is>
          <t>1997-11-19</t>
        </is>
      </c>
      <c r="X398" t="inlineStr">
        <is>
          <t>2000-07-07</t>
        </is>
      </c>
      <c r="Y398" t="n">
        <v>645</v>
      </c>
      <c r="Z398" t="n">
        <v>481</v>
      </c>
      <c r="AA398" t="n">
        <v>1334</v>
      </c>
      <c r="AB398" t="n">
        <v>3</v>
      </c>
      <c r="AC398" t="n">
        <v>16</v>
      </c>
      <c r="AD398" t="n">
        <v>29</v>
      </c>
      <c r="AE398" t="n">
        <v>61</v>
      </c>
      <c r="AF398" t="n">
        <v>8</v>
      </c>
      <c r="AG398" t="n">
        <v>18</v>
      </c>
      <c r="AH398" t="n">
        <v>5</v>
      </c>
      <c r="AI398" t="n">
        <v>11</v>
      </c>
      <c r="AJ398" t="n">
        <v>17</v>
      </c>
      <c r="AK398" t="n">
        <v>22</v>
      </c>
      <c r="AL398" t="n">
        <v>1</v>
      </c>
      <c r="AM398" t="n">
        <v>13</v>
      </c>
      <c r="AN398" t="n">
        <v>7</v>
      </c>
      <c r="AO398" t="n">
        <v>8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HYPERLINK("https://creighton-primo.hosted.exlibrisgroup.com/primo-explore/search?tab=default_tab&amp;search_scope=EVERYTHING&amp;vid=01CRU&amp;lang=en_US&amp;offset=0&amp;query=any,contains,991001790559702656","Catalog Record")</f>
        <v/>
      </c>
      <c r="AT398">
        <f>HYPERLINK("http://www.worldcat.org/oclc/30734599","WorldCat Record")</f>
        <v/>
      </c>
    </row>
    <row r="399">
      <c r="A399" t="inlineStr">
        <is>
          <t>No</t>
        </is>
      </c>
      <c r="B399" t="inlineStr">
        <is>
          <t>R724 .F54</t>
        </is>
      </c>
      <c r="C399" t="inlineStr">
        <is>
          <t>0                      R  0724000F  54</t>
        </is>
      </c>
      <c r="D399" t="inlineStr">
        <is>
          <t>Humanhood : essays in biomedical ethics / Joseph Fletcher.</t>
        </is>
      </c>
      <c r="F399" t="inlineStr">
        <is>
          <t>No</t>
        </is>
      </c>
      <c r="G399" t="inlineStr">
        <is>
          <t>1</t>
        </is>
      </c>
      <c r="H399" t="inlineStr">
        <is>
          <t>Yes</t>
        </is>
      </c>
      <c r="I399" t="inlineStr">
        <is>
          <t>No</t>
        </is>
      </c>
      <c r="J399" t="inlineStr">
        <is>
          <t>0</t>
        </is>
      </c>
      <c r="K399" t="inlineStr">
        <is>
          <t>Fletcher, Joseph F.</t>
        </is>
      </c>
      <c r="L399" t="inlineStr">
        <is>
          <t>New York : Prometheus Books, c1979.</t>
        </is>
      </c>
      <c r="M399" t="inlineStr">
        <is>
          <t>1979</t>
        </is>
      </c>
      <c r="O399" t="inlineStr">
        <is>
          <t>eng</t>
        </is>
      </c>
      <c r="P399" t="inlineStr">
        <is>
          <t>nyu</t>
        </is>
      </c>
      <c r="R399" t="inlineStr">
        <is>
          <t xml:space="preserve">R  </t>
        </is>
      </c>
      <c r="S399" t="n">
        <v>6</v>
      </c>
      <c r="T399" t="n">
        <v>31</v>
      </c>
      <c r="U399" t="inlineStr">
        <is>
          <t>2000-08-23</t>
        </is>
      </c>
      <c r="V399" t="inlineStr">
        <is>
          <t>2000-08-31</t>
        </is>
      </c>
      <c r="W399" t="inlineStr">
        <is>
          <t>1989-07-10</t>
        </is>
      </c>
      <c r="X399" t="inlineStr">
        <is>
          <t>1992-09-10</t>
        </is>
      </c>
      <c r="Y399" t="n">
        <v>940</v>
      </c>
      <c r="Z399" t="n">
        <v>824</v>
      </c>
      <c r="AA399" t="n">
        <v>830</v>
      </c>
      <c r="AB399" t="n">
        <v>4</v>
      </c>
      <c r="AC399" t="n">
        <v>4</v>
      </c>
      <c r="AD399" t="n">
        <v>31</v>
      </c>
      <c r="AE399" t="n">
        <v>31</v>
      </c>
      <c r="AF399" t="n">
        <v>12</v>
      </c>
      <c r="AG399" t="n">
        <v>12</v>
      </c>
      <c r="AH399" t="n">
        <v>7</v>
      </c>
      <c r="AI399" t="n">
        <v>7</v>
      </c>
      <c r="AJ399" t="n">
        <v>16</v>
      </c>
      <c r="AK399" t="n">
        <v>16</v>
      </c>
      <c r="AL399" t="n">
        <v>2</v>
      </c>
      <c r="AM399" t="n">
        <v>2</v>
      </c>
      <c r="AN399" t="n">
        <v>1</v>
      </c>
      <c r="AO399" t="n">
        <v>1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HYPERLINK("http://catalog.hathitrust.org/Record/000301063","HathiTrust Record")</f>
        <v/>
      </c>
      <c r="AS399">
        <f>HYPERLINK("https://creighton-primo.hosted.exlibrisgroup.com/primo-explore/search?tab=default_tab&amp;search_scope=EVERYTHING&amp;vid=01CRU&amp;lang=en_US&amp;offset=0&amp;query=any,contains,991001789299702656","Catalog Record")</f>
        <v/>
      </c>
      <c r="AT399">
        <f>HYPERLINK("http://www.worldcat.org/oclc/4946250","WorldCat Record")</f>
        <v/>
      </c>
    </row>
    <row r="400">
      <c r="A400" t="inlineStr">
        <is>
          <t>No</t>
        </is>
      </c>
      <c r="B400" t="inlineStr">
        <is>
          <t>R724 .G68</t>
        </is>
      </c>
      <c r="C400" t="inlineStr">
        <is>
          <t>0                      R  0724000G  68</t>
        </is>
      </c>
      <c r="D400" t="inlineStr">
        <is>
          <t>Doctors' dilemmas : moral conflict and medical care / Samuel Gorovitz.</t>
        </is>
      </c>
      <c r="F400" t="inlineStr">
        <is>
          <t>No</t>
        </is>
      </c>
      <c r="G400" t="inlineStr">
        <is>
          <t>1</t>
        </is>
      </c>
      <c r="H400" t="inlineStr">
        <is>
          <t>Yes</t>
        </is>
      </c>
      <c r="I400" t="inlineStr">
        <is>
          <t>No</t>
        </is>
      </c>
      <c r="J400" t="inlineStr">
        <is>
          <t>0</t>
        </is>
      </c>
      <c r="K400" t="inlineStr">
        <is>
          <t>Gorovitz, Samuel.</t>
        </is>
      </c>
      <c r="L400" t="inlineStr">
        <is>
          <t>New York : Macmillan, c1982.</t>
        </is>
      </c>
      <c r="M400" t="inlineStr">
        <is>
          <t>1982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R  </t>
        </is>
      </c>
      <c r="S400" t="n">
        <v>6</v>
      </c>
      <c r="T400" t="n">
        <v>8</v>
      </c>
      <c r="U400" t="inlineStr">
        <is>
          <t>2002-09-25</t>
        </is>
      </c>
      <c r="V400" t="inlineStr">
        <is>
          <t>2008-07-01</t>
        </is>
      </c>
      <c r="W400" t="inlineStr">
        <is>
          <t>1987-10-02</t>
        </is>
      </c>
      <c r="X400" t="inlineStr">
        <is>
          <t>1993-03-08</t>
        </is>
      </c>
      <c r="Y400" t="n">
        <v>473</v>
      </c>
      <c r="Z400" t="n">
        <v>434</v>
      </c>
      <c r="AA400" t="n">
        <v>619</v>
      </c>
      <c r="AB400" t="n">
        <v>2</v>
      </c>
      <c r="AC400" t="n">
        <v>2</v>
      </c>
      <c r="AD400" t="n">
        <v>13</v>
      </c>
      <c r="AE400" t="n">
        <v>24</v>
      </c>
      <c r="AF400" t="n">
        <v>7</v>
      </c>
      <c r="AG400" t="n">
        <v>9</v>
      </c>
      <c r="AH400" t="n">
        <v>2</v>
      </c>
      <c r="AI400" t="n">
        <v>5</v>
      </c>
      <c r="AJ400" t="n">
        <v>10</v>
      </c>
      <c r="AK400" t="n">
        <v>14</v>
      </c>
      <c r="AL400" t="n">
        <v>0</v>
      </c>
      <c r="AM400" t="n">
        <v>0</v>
      </c>
      <c r="AN400" t="n">
        <v>0</v>
      </c>
      <c r="AO400" t="n">
        <v>4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HYPERLINK("http://catalog.hathitrust.org/Record/000270643","HathiTrust Record")</f>
        <v/>
      </c>
      <c r="AS400">
        <f>HYPERLINK("https://creighton-primo.hosted.exlibrisgroup.com/primo-explore/search?tab=default_tab&amp;search_scope=EVERYTHING&amp;vid=01CRU&amp;lang=en_US&amp;offset=0&amp;query=any,contains,991001789369702656","Catalog Record")</f>
        <v/>
      </c>
      <c r="AT400">
        <f>HYPERLINK("http://www.worldcat.org/oclc/8306792","WorldCat Record")</f>
        <v/>
      </c>
    </row>
    <row r="401">
      <c r="A401" t="inlineStr">
        <is>
          <t>No</t>
        </is>
      </c>
      <c r="B401" t="inlineStr">
        <is>
          <t>R724 .H16</t>
        </is>
      </c>
      <c r="C401" t="inlineStr">
        <is>
          <t>0                      R  0724000H  16</t>
        </is>
      </c>
      <c r="D401" t="inlineStr">
        <is>
          <t>Medical ethics / [by] Bernard Häring ; edited by Gabrielle L. Jean.</t>
        </is>
      </c>
      <c r="F401" t="inlineStr">
        <is>
          <t>No</t>
        </is>
      </c>
      <c r="G401" t="inlineStr">
        <is>
          <t>1</t>
        </is>
      </c>
      <c r="H401" t="inlineStr">
        <is>
          <t>Yes</t>
        </is>
      </c>
      <c r="I401" t="inlineStr">
        <is>
          <t>No</t>
        </is>
      </c>
      <c r="J401" t="inlineStr">
        <is>
          <t>0</t>
        </is>
      </c>
      <c r="K401" t="inlineStr">
        <is>
          <t>Häring, Bernhard, 1912-1998.</t>
        </is>
      </c>
      <c r="L401" t="inlineStr">
        <is>
          <t>[Notre Dame, Ind.] : Fides Publishers, [1973]</t>
        </is>
      </c>
      <c r="M401" t="inlineStr">
        <is>
          <t>1973</t>
        </is>
      </c>
      <c r="O401" t="inlineStr">
        <is>
          <t>eng</t>
        </is>
      </c>
      <c r="P401" t="inlineStr">
        <is>
          <t>inu</t>
        </is>
      </c>
      <c r="R401" t="inlineStr">
        <is>
          <t xml:space="preserve">R  </t>
        </is>
      </c>
      <c r="S401" t="n">
        <v>13</v>
      </c>
      <c r="T401" t="n">
        <v>33</v>
      </c>
      <c r="U401" t="inlineStr">
        <is>
          <t>2003-04-17</t>
        </is>
      </c>
      <c r="V401" t="inlineStr">
        <is>
          <t>2010-10-04</t>
        </is>
      </c>
      <c r="W401" t="inlineStr">
        <is>
          <t>1987-10-08</t>
        </is>
      </c>
      <c r="X401" t="inlineStr">
        <is>
          <t>1990-09-20</t>
        </is>
      </c>
      <c r="Y401" t="n">
        <v>471</v>
      </c>
      <c r="Z401" t="n">
        <v>410</v>
      </c>
      <c r="AA401" t="n">
        <v>467</v>
      </c>
      <c r="AB401" t="n">
        <v>5</v>
      </c>
      <c r="AC401" t="n">
        <v>5</v>
      </c>
      <c r="AD401" t="n">
        <v>26</v>
      </c>
      <c r="AE401" t="n">
        <v>29</v>
      </c>
      <c r="AF401" t="n">
        <v>7</v>
      </c>
      <c r="AG401" t="n">
        <v>8</v>
      </c>
      <c r="AH401" t="n">
        <v>7</v>
      </c>
      <c r="AI401" t="n">
        <v>8</v>
      </c>
      <c r="AJ401" t="n">
        <v>18</v>
      </c>
      <c r="AK401" t="n">
        <v>20</v>
      </c>
      <c r="AL401" t="n">
        <v>1</v>
      </c>
      <c r="AM401" t="n">
        <v>1</v>
      </c>
      <c r="AN401" t="n">
        <v>1</v>
      </c>
      <c r="AO401" t="n">
        <v>1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HYPERLINK("https://creighton-primo.hosted.exlibrisgroup.com/primo-explore/search?tab=default_tab&amp;search_scope=EVERYTHING&amp;vid=01CRU&amp;lang=en_US&amp;offset=0&amp;query=any,contains,991001789509702656","Catalog Record")</f>
        <v/>
      </c>
      <c r="AT401">
        <f>HYPERLINK("http://www.worldcat.org/oclc/524317","WorldCat Record")</f>
        <v/>
      </c>
    </row>
    <row r="402">
      <c r="A402" t="inlineStr">
        <is>
          <t>No</t>
        </is>
      </c>
      <c r="B402" t="inlineStr">
        <is>
          <t>R724 .K4</t>
        </is>
      </c>
      <c r="C402" t="inlineStr">
        <is>
          <t>0                      R  0724000K  4</t>
        </is>
      </c>
      <c r="D402" t="inlineStr">
        <is>
          <t>Principles of medical ethics.</t>
        </is>
      </c>
      <c r="F402" t="inlineStr">
        <is>
          <t>No</t>
        </is>
      </c>
      <c r="G402" t="inlineStr">
        <is>
          <t>1</t>
        </is>
      </c>
      <c r="H402" t="inlineStr">
        <is>
          <t>Yes</t>
        </is>
      </c>
      <c r="I402" t="inlineStr">
        <is>
          <t>No</t>
        </is>
      </c>
      <c r="J402" t="inlineStr">
        <is>
          <t>0</t>
        </is>
      </c>
      <c r="K402" t="inlineStr">
        <is>
          <t>Kenny, John Paulinus, 1909-</t>
        </is>
      </c>
      <c r="L402" t="inlineStr">
        <is>
          <t>Westminster, Md., Newman Press, 1952.</t>
        </is>
      </c>
      <c r="M402" t="inlineStr">
        <is>
          <t>1952</t>
        </is>
      </c>
      <c r="O402" t="inlineStr">
        <is>
          <t>eng</t>
        </is>
      </c>
      <c r="P402" t="inlineStr">
        <is>
          <t>mdu</t>
        </is>
      </c>
      <c r="R402" t="inlineStr">
        <is>
          <t xml:space="preserve">R  </t>
        </is>
      </c>
      <c r="S402" t="n">
        <v>5</v>
      </c>
      <c r="T402" t="n">
        <v>5</v>
      </c>
      <c r="U402" t="inlineStr">
        <is>
          <t>1995-03-15</t>
        </is>
      </c>
      <c r="V402" t="inlineStr">
        <is>
          <t>1995-03-15</t>
        </is>
      </c>
      <c r="W402" t="inlineStr">
        <is>
          <t>1987-10-02</t>
        </is>
      </c>
      <c r="X402" t="inlineStr">
        <is>
          <t>1997-08-07</t>
        </is>
      </c>
      <c r="Y402" t="n">
        <v>131</v>
      </c>
      <c r="Z402" t="n">
        <v>114</v>
      </c>
      <c r="AA402" t="n">
        <v>363</v>
      </c>
      <c r="AB402" t="n">
        <v>2</v>
      </c>
      <c r="AC402" t="n">
        <v>6</v>
      </c>
      <c r="AD402" t="n">
        <v>17</v>
      </c>
      <c r="AE402" t="n">
        <v>35</v>
      </c>
      <c r="AF402" t="n">
        <v>5</v>
      </c>
      <c r="AG402" t="n">
        <v>10</v>
      </c>
      <c r="AH402" t="n">
        <v>3</v>
      </c>
      <c r="AI402" t="n">
        <v>7</v>
      </c>
      <c r="AJ402" t="n">
        <v>15</v>
      </c>
      <c r="AK402" t="n">
        <v>18</v>
      </c>
      <c r="AL402" t="n">
        <v>0</v>
      </c>
      <c r="AM402" t="n">
        <v>2</v>
      </c>
      <c r="AN402" t="n">
        <v>0</v>
      </c>
      <c r="AO402" t="n">
        <v>7</v>
      </c>
      <c r="AP402" t="inlineStr">
        <is>
          <t>Yes</t>
        </is>
      </c>
      <c r="AQ402" t="inlineStr">
        <is>
          <t>No</t>
        </is>
      </c>
      <c r="AR402">
        <f>HYPERLINK("http://catalog.hathitrust.org/Record/102256773","HathiTrust Record")</f>
        <v/>
      </c>
      <c r="AS402">
        <f>HYPERLINK("https://creighton-primo.hosted.exlibrisgroup.com/primo-explore/search?tab=default_tab&amp;search_scope=EVERYTHING&amp;vid=01CRU&amp;lang=en_US&amp;offset=0&amp;query=any,contains,991001792199702656","Catalog Record")</f>
        <v/>
      </c>
      <c r="AT402">
        <f>HYPERLINK("http://www.worldcat.org/oclc/368281","WorldCat Record")</f>
        <v/>
      </c>
    </row>
    <row r="403">
      <c r="A403" t="inlineStr">
        <is>
          <t>No</t>
        </is>
      </c>
      <c r="B403" t="inlineStr">
        <is>
          <t>R724 .M15 1967</t>
        </is>
      </c>
      <c r="C403" t="inlineStr">
        <is>
          <t>0                      R  0724000M  15          1967</t>
        </is>
      </c>
      <c r="D403" t="inlineStr">
        <is>
          <t>Medical ethics / [by] Charles J. McFadden. Foreword by Fulton J. Sheen.</t>
        </is>
      </c>
      <c r="F403" t="inlineStr">
        <is>
          <t>No</t>
        </is>
      </c>
      <c r="G403" t="inlineStr">
        <is>
          <t>1</t>
        </is>
      </c>
      <c r="H403" t="inlineStr">
        <is>
          <t>Yes</t>
        </is>
      </c>
      <c r="I403" t="inlineStr">
        <is>
          <t>Yes</t>
        </is>
      </c>
      <c r="J403" t="inlineStr">
        <is>
          <t>0</t>
        </is>
      </c>
      <c r="K403" t="inlineStr">
        <is>
          <t>McFadden, Charles Joseph, 1909-</t>
        </is>
      </c>
      <c r="L403" t="inlineStr">
        <is>
          <t>Philadelphia : F. A. Davis Co., [1967]</t>
        </is>
      </c>
      <c r="M403" t="inlineStr">
        <is>
          <t>1967</t>
        </is>
      </c>
      <c r="N403" t="inlineStr">
        <is>
          <t>Ed. 6.</t>
        </is>
      </c>
      <c r="O403" t="inlineStr">
        <is>
          <t>eng</t>
        </is>
      </c>
      <c r="P403" t="inlineStr">
        <is>
          <t>pau</t>
        </is>
      </c>
      <c r="R403" t="inlineStr">
        <is>
          <t xml:space="preserve">R  </t>
        </is>
      </c>
      <c r="S403" t="n">
        <v>5</v>
      </c>
      <c r="T403" t="n">
        <v>9</v>
      </c>
      <c r="V403" t="inlineStr">
        <is>
          <t>1992-09-08</t>
        </is>
      </c>
      <c r="W403" t="inlineStr">
        <is>
          <t>1987-12-29</t>
        </is>
      </c>
      <c r="X403" t="inlineStr">
        <is>
          <t>1990-10-05</t>
        </is>
      </c>
      <c r="Y403" t="n">
        <v>336</v>
      </c>
      <c r="Z403" t="n">
        <v>300</v>
      </c>
      <c r="AA403" t="n">
        <v>622</v>
      </c>
      <c r="AB403" t="n">
        <v>4</v>
      </c>
      <c r="AC403" t="n">
        <v>8</v>
      </c>
      <c r="AD403" t="n">
        <v>17</v>
      </c>
      <c r="AE403" t="n">
        <v>38</v>
      </c>
      <c r="AF403" t="n">
        <v>4</v>
      </c>
      <c r="AG403" t="n">
        <v>9</v>
      </c>
      <c r="AH403" t="n">
        <v>4</v>
      </c>
      <c r="AI403" t="n">
        <v>8</v>
      </c>
      <c r="AJ403" t="n">
        <v>12</v>
      </c>
      <c r="AK403" t="n">
        <v>18</v>
      </c>
      <c r="AL403" t="n">
        <v>1</v>
      </c>
      <c r="AM403" t="n">
        <v>3</v>
      </c>
      <c r="AN403" t="n">
        <v>0</v>
      </c>
      <c r="AO403" t="n">
        <v>7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HYPERLINK("http://catalog.hathitrust.org/Record/001557837","HathiTrust Record")</f>
        <v/>
      </c>
      <c r="AS403">
        <f>HYPERLINK("https://creighton-primo.hosted.exlibrisgroup.com/primo-explore/search?tab=default_tab&amp;search_scope=EVERYTHING&amp;vid=01CRU&amp;lang=en_US&amp;offset=0&amp;query=any,contains,991001787309702656","Catalog Record")</f>
        <v/>
      </c>
      <c r="AT403">
        <f>HYPERLINK("http://www.worldcat.org/oclc/618880","WorldCat Record")</f>
        <v/>
      </c>
    </row>
    <row r="404">
      <c r="A404" t="inlineStr">
        <is>
          <t>No</t>
        </is>
      </c>
      <c r="B404" t="inlineStr">
        <is>
          <t>R724 .M2928 1983</t>
        </is>
      </c>
      <c r="C404" t="inlineStr">
        <is>
          <t>0                      R  0724000M  2928        1983</t>
        </is>
      </c>
      <c r="D404" t="inlineStr">
        <is>
          <t>Medical ethics : a clinical textbook and reference for the health care professions / edited by Natalie Abrams, Michael D. Buckner.</t>
        </is>
      </c>
      <c r="F404" t="inlineStr">
        <is>
          <t>No</t>
        </is>
      </c>
      <c r="G404" t="inlineStr">
        <is>
          <t>1</t>
        </is>
      </c>
      <c r="H404" t="inlineStr">
        <is>
          <t>Yes</t>
        </is>
      </c>
      <c r="I404" t="inlineStr">
        <is>
          <t>No</t>
        </is>
      </c>
      <c r="J404" t="inlineStr">
        <is>
          <t>0</t>
        </is>
      </c>
      <c r="L404" t="inlineStr">
        <is>
          <t>Cambridge, Mass. : MIT Press, c1983.</t>
        </is>
      </c>
      <c r="M404" t="inlineStr">
        <is>
          <t>1983</t>
        </is>
      </c>
      <c r="O404" t="inlineStr">
        <is>
          <t>eng</t>
        </is>
      </c>
      <c r="P404" t="inlineStr">
        <is>
          <t>mau</t>
        </is>
      </c>
      <c r="R404" t="inlineStr">
        <is>
          <t xml:space="preserve">R  </t>
        </is>
      </c>
      <c r="S404" t="n">
        <v>18</v>
      </c>
      <c r="T404" t="n">
        <v>38</v>
      </c>
      <c r="U404" t="inlineStr">
        <is>
          <t>1995-03-15</t>
        </is>
      </c>
      <c r="V404" t="inlineStr">
        <is>
          <t>2005-10-18</t>
        </is>
      </c>
      <c r="W404" t="inlineStr">
        <is>
          <t>1988-11-21</t>
        </is>
      </c>
      <c r="X404" t="inlineStr">
        <is>
          <t>1992-03-27</t>
        </is>
      </c>
      <c r="Y404" t="n">
        <v>598</v>
      </c>
      <c r="Z404" t="n">
        <v>513</v>
      </c>
      <c r="AA404" t="n">
        <v>513</v>
      </c>
      <c r="AB404" t="n">
        <v>3</v>
      </c>
      <c r="AC404" t="n">
        <v>3</v>
      </c>
      <c r="AD404" t="n">
        <v>28</v>
      </c>
      <c r="AE404" t="n">
        <v>28</v>
      </c>
      <c r="AF404" t="n">
        <v>10</v>
      </c>
      <c r="AG404" t="n">
        <v>10</v>
      </c>
      <c r="AH404" t="n">
        <v>4</v>
      </c>
      <c r="AI404" t="n">
        <v>4</v>
      </c>
      <c r="AJ404" t="n">
        <v>16</v>
      </c>
      <c r="AK404" t="n">
        <v>16</v>
      </c>
      <c r="AL404" t="n">
        <v>0</v>
      </c>
      <c r="AM404" t="n">
        <v>0</v>
      </c>
      <c r="AN404" t="n">
        <v>6</v>
      </c>
      <c r="AO404" t="n">
        <v>6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HYPERLINK("https://creighton-primo.hosted.exlibrisgroup.com/primo-explore/search?tab=default_tab&amp;search_scope=EVERYTHING&amp;vid=01CRU&amp;lang=en_US&amp;offset=0&amp;query=any,contains,991001624319702656","Catalog Record")</f>
        <v/>
      </c>
      <c r="AT404">
        <f>HYPERLINK("http://www.worldcat.org/oclc/9066415","WorldCat Record")</f>
        <v/>
      </c>
    </row>
    <row r="405">
      <c r="A405" t="inlineStr">
        <is>
          <t>No</t>
        </is>
      </c>
      <c r="B405" t="inlineStr">
        <is>
          <t>R724 .M4</t>
        </is>
      </c>
      <c r="C405" t="inlineStr">
        <is>
          <t>0                      R  0724000M  4</t>
        </is>
      </c>
      <c r="D405" t="inlineStr">
        <is>
          <t>Medical ethics and social change / special editor, Bernard Barber.</t>
        </is>
      </c>
      <c r="F405" t="inlineStr">
        <is>
          <t>No</t>
        </is>
      </c>
      <c r="G405" t="inlineStr">
        <is>
          <t>1</t>
        </is>
      </c>
      <c r="H405" t="inlineStr">
        <is>
          <t>Yes</t>
        </is>
      </c>
      <c r="I405" t="inlineStr">
        <is>
          <t>No</t>
        </is>
      </c>
      <c r="J405" t="inlineStr">
        <is>
          <t>0</t>
        </is>
      </c>
      <c r="L405" t="inlineStr">
        <is>
          <t>Philadelphia : American Academy of Political and Social Science, 1978.</t>
        </is>
      </c>
      <c r="M405" t="inlineStr">
        <is>
          <t>1978</t>
        </is>
      </c>
      <c r="O405" t="inlineStr">
        <is>
          <t>eng</t>
        </is>
      </c>
      <c r="P405" t="inlineStr">
        <is>
          <t>pau</t>
        </is>
      </c>
      <c r="Q405" t="inlineStr">
        <is>
          <t>The Annals of the American Academy of Political and Social Science ; v. 437</t>
        </is>
      </c>
      <c r="R405" t="inlineStr">
        <is>
          <t xml:space="preserve">R  </t>
        </is>
      </c>
      <c r="S405" t="n">
        <v>5</v>
      </c>
      <c r="T405" t="n">
        <v>10</v>
      </c>
      <c r="U405" t="inlineStr">
        <is>
          <t>2001-03-03</t>
        </is>
      </c>
      <c r="V405" t="inlineStr">
        <is>
          <t>2001-04-10</t>
        </is>
      </c>
      <c r="W405" t="inlineStr">
        <is>
          <t>1987-10-07</t>
        </is>
      </c>
      <c r="X405" t="inlineStr">
        <is>
          <t>1992-04-08</t>
        </is>
      </c>
      <c r="Y405" t="n">
        <v>389</v>
      </c>
      <c r="Z405" t="n">
        <v>343</v>
      </c>
      <c r="AA405" t="n">
        <v>352</v>
      </c>
      <c r="AB405" t="n">
        <v>3</v>
      </c>
      <c r="AC405" t="n">
        <v>3</v>
      </c>
      <c r="AD405" t="n">
        <v>15</v>
      </c>
      <c r="AE405" t="n">
        <v>15</v>
      </c>
      <c r="AF405" t="n">
        <v>4</v>
      </c>
      <c r="AG405" t="n">
        <v>4</v>
      </c>
      <c r="AH405" t="n">
        <v>2</v>
      </c>
      <c r="AI405" t="n">
        <v>2</v>
      </c>
      <c r="AJ405" t="n">
        <v>9</v>
      </c>
      <c r="AK405" t="n">
        <v>9</v>
      </c>
      <c r="AL405" t="n">
        <v>1</v>
      </c>
      <c r="AM405" t="n">
        <v>1</v>
      </c>
      <c r="AN405" t="n">
        <v>3</v>
      </c>
      <c r="AO405" t="n">
        <v>3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HYPERLINK("https://creighton-primo.hosted.exlibrisgroup.com/primo-explore/search?tab=default_tab&amp;search_scope=EVERYTHING&amp;vid=01CRU&amp;lang=en_US&amp;offset=0&amp;query=any,contains,991001792399702656","Catalog Record")</f>
        <v/>
      </c>
      <c r="AT405">
        <f>HYPERLINK("http://www.worldcat.org/oclc/3964331","WorldCat Record")</f>
        <v/>
      </c>
    </row>
    <row r="406">
      <c r="A406" t="inlineStr">
        <is>
          <t>No</t>
        </is>
      </c>
      <c r="B406" t="inlineStr">
        <is>
          <t>R724 .O28</t>
        </is>
      </c>
      <c r="C406" t="inlineStr">
        <is>
          <t>0                      R  0724000O  28</t>
        </is>
      </c>
      <c r="D406" t="inlineStr">
        <is>
          <t>Medicine and Christian morality / Thomas J. O'Donnell.</t>
        </is>
      </c>
      <c r="F406" t="inlineStr">
        <is>
          <t>No</t>
        </is>
      </c>
      <c r="G406" t="inlineStr">
        <is>
          <t>1</t>
        </is>
      </c>
      <c r="H406" t="inlineStr">
        <is>
          <t>Yes</t>
        </is>
      </c>
      <c r="I406" t="inlineStr">
        <is>
          <t>Yes</t>
        </is>
      </c>
      <c r="J406" t="inlineStr">
        <is>
          <t>0</t>
        </is>
      </c>
      <c r="K406" t="inlineStr">
        <is>
          <t>O'Donnell, Thomas J. (Thomas Joseph), 1918-</t>
        </is>
      </c>
      <c r="L406" t="inlineStr">
        <is>
          <t>New York : Alba House, c1976.</t>
        </is>
      </c>
      <c r="M406" t="inlineStr">
        <is>
          <t>1976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R  </t>
        </is>
      </c>
      <c r="S406" t="n">
        <v>2</v>
      </c>
      <c r="T406" t="n">
        <v>8</v>
      </c>
      <c r="U406" t="inlineStr">
        <is>
          <t>1997-10-02</t>
        </is>
      </c>
      <c r="V406" t="inlineStr">
        <is>
          <t>2001-11-04</t>
        </is>
      </c>
      <c r="W406" t="inlineStr">
        <is>
          <t>1989-07-06</t>
        </is>
      </c>
      <c r="X406" t="inlineStr">
        <is>
          <t>1997-08-07</t>
        </is>
      </c>
      <c r="Y406" t="n">
        <v>261</v>
      </c>
      <c r="Z406" t="n">
        <v>230</v>
      </c>
      <c r="AA406" t="n">
        <v>301</v>
      </c>
      <c r="AB406" t="n">
        <v>3</v>
      </c>
      <c r="AC406" t="n">
        <v>4</v>
      </c>
      <c r="AD406" t="n">
        <v>23</v>
      </c>
      <c r="AE406" t="n">
        <v>27</v>
      </c>
      <c r="AF406" t="n">
        <v>6</v>
      </c>
      <c r="AG406" t="n">
        <v>7</v>
      </c>
      <c r="AH406" t="n">
        <v>7</v>
      </c>
      <c r="AI406" t="n">
        <v>8</v>
      </c>
      <c r="AJ406" t="n">
        <v>17</v>
      </c>
      <c r="AK406" t="n">
        <v>20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No</t>
        </is>
      </c>
      <c r="AS406">
        <f>HYPERLINK("https://creighton-primo.hosted.exlibrisgroup.com/primo-explore/search?tab=default_tab&amp;search_scope=EVERYTHING&amp;vid=01CRU&amp;lang=en_US&amp;offset=0&amp;query=any,contains,991001786509702656","Catalog Record")</f>
        <v/>
      </c>
      <c r="AT406">
        <f>HYPERLINK("http://www.worldcat.org/oclc/1975980","WorldCat Record")</f>
        <v/>
      </c>
    </row>
    <row r="407">
      <c r="A407" t="inlineStr">
        <is>
          <t>No</t>
        </is>
      </c>
      <c r="B407" t="inlineStr">
        <is>
          <t>R724 .R3</t>
        </is>
      </c>
      <c r="C407" t="inlineStr">
        <is>
          <t>0                      R  0724000R  3</t>
        </is>
      </c>
      <c r="D407" t="inlineStr">
        <is>
          <t>Ethics at the edges of life : medical and legal intersections / Paul Ramsey.</t>
        </is>
      </c>
      <c r="F407" t="inlineStr">
        <is>
          <t>No</t>
        </is>
      </c>
      <c r="G407" t="inlineStr">
        <is>
          <t>1</t>
        </is>
      </c>
      <c r="H407" t="inlineStr">
        <is>
          <t>Yes</t>
        </is>
      </c>
      <c r="I407" t="inlineStr">
        <is>
          <t>No</t>
        </is>
      </c>
      <c r="J407" t="inlineStr">
        <is>
          <t>0</t>
        </is>
      </c>
      <c r="K407" t="inlineStr">
        <is>
          <t>Ramsey, Paul.</t>
        </is>
      </c>
      <c r="L407" t="inlineStr">
        <is>
          <t>New Haven : Yale University Press, 1978.</t>
        </is>
      </c>
      <c r="M407" t="inlineStr">
        <is>
          <t>1978</t>
        </is>
      </c>
      <c r="O407" t="inlineStr">
        <is>
          <t>eng</t>
        </is>
      </c>
      <c r="P407" t="inlineStr">
        <is>
          <t>ctu</t>
        </is>
      </c>
      <c r="Q407" t="inlineStr">
        <is>
          <t>The Bampton lectures in America</t>
        </is>
      </c>
      <c r="R407" t="inlineStr">
        <is>
          <t xml:space="preserve">R  </t>
        </is>
      </c>
      <c r="S407" t="n">
        <v>11</v>
      </c>
      <c r="T407" t="n">
        <v>18</v>
      </c>
      <c r="U407" t="inlineStr">
        <is>
          <t>1995-04-07</t>
        </is>
      </c>
      <c r="V407" t="inlineStr">
        <is>
          <t>1998-11-02</t>
        </is>
      </c>
      <c r="W407" t="inlineStr">
        <is>
          <t>1987-10-02</t>
        </is>
      </c>
      <c r="X407" t="inlineStr">
        <is>
          <t>2012-11-27</t>
        </is>
      </c>
      <c r="Y407" t="n">
        <v>1269</v>
      </c>
      <c r="Z407" t="n">
        <v>1106</v>
      </c>
      <c r="AA407" t="n">
        <v>1118</v>
      </c>
      <c r="AB407" t="n">
        <v>9</v>
      </c>
      <c r="AC407" t="n">
        <v>9</v>
      </c>
      <c r="AD407" t="n">
        <v>59</v>
      </c>
      <c r="AE407" t="n">
        <v>59</v>
      </c>
      <c r="AF407" t="n">
        <v>17</v>
      </c>
      <c r="AG407" t="n">
        <v>17</v>
      </c>
      <c r="AH407" t="n">
        <v>7</v>
      </c>
      <c r="AI407" t="n">
        <v>7</v>
      </c>
      <c r="AJ407" t="n">
        <v>23</v>
      </c>
      <c r="AK407" t="n">
        <v>23</v>
      </c>
      <c r="AL407" t="n">
        <v>4</v>
      </c>
      <c r="AM407" t="n">
        <v>4</v>
      </c>
      <c r="AN407" t="n">
        <v>20</v>
      </c>
      <c r="AO407" t="n">
        <v>20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HYPERLINK("http://catalog.hathitrust.org/Record/000029697","HathiTrust Record")</f>
        <v/>
      </c>
      <c r="AS407">
        <f>HYPERLINK("https://creighton-primo.hosted.exlibrisgroup.com/primo-explore/search?tab=default_tab&amp;search_scope=EVERYTHING&amp;vid=01CRU&amp;lang=en_US&amp;offset=0&amp;query=any,contains,991001782839702656","Catalog Record")</f>
        <v/>
      </c>
      <c r="AT407">
        <f>HYPERLINK("http://www.worldcat.org/oclc/3414018","WorldCat Record")</f>
        <v/>
      </c>
    </row>
    <row r="408">
      <c r="A408" t="inlineStr">
        <is>
          <t>No</t>
        </is>
      </c>
      <c r="B408" t="inlineStr">
        <is>
          <t>R724 .S394 1982</t>
        </is>
      </c>
      <c r="C408" t="inlineStr">
        <is>
          <t>0                      R  0724000S  394         1982</t>
        </is>
      </c>
      <c r="D408" t="inlineStr">
        <is>
          <t>Science and morality : new directions in bioethics / edited by Doris Teichler-Zallen, Colleen D. Clements.</t>
        </is>
      </c>
      <c r="F408" t="inlineStr">
        <is>
          <t>No</t>
        </is>
      </c>
      <c r="G408" t="inlineStr">
        <is>
          <t>1</t>
        </is>
      </c>
      <c r="H408" t="inlineStr">
        <is>
          <t>Yes</t>
        </is>
      </c>
      <c r="I408" t="inlineStr">
        <is>
          <t>No</t>
        </is>
      </c>
      <c r="J408" t="inlineStr">
        <is>
          <t>0</t>
        </is>
      </c>
      <c r="L408" t="inlineStr">
        <is>
          <t>Lexington, Mass. : Lexington Books, c1982.</t>
        </is>
      </c>
      <c r="M408" t="inlineStr">
        <is>
          <t>1982</t>
        </is>
      </c>
      <c r="O408" t="inlineStr">
        <is>
          <t>eng</t>
        </is>
      </c>
      <c r="P408" t="inlineStr">
        <is>
          <t>mau</t>
        </is>
      </c>
      <c r="R408" t="inlineStr">
        <is>
          <t xml:space="preserve">R  </t>
        </is>
      </c>
      <c r="S408" t="n">
        <v>1</v>
      </c>
      <c r="T408" t="n">
        <v>5</v>
      </c>
      <c r="U408" t="inlineStr">
        <is>
          <t>1998-11-12</t>
        </is>
      </c>
      <c r="V408" t="inlineStr">
        <is>
          <t>2001-03-21</t>
        </is>
      </c>
      <c r="W408" t="inlineStr">
        <is>
          <t>1992-07-15</t>
        </is>
      </c>
      <c r="X408" t="inlineStr">
        <is>
          <t>1993-03-08</t>
        </is>
      </c>
      <c r="Y408" t="n">
        <v>248</v>
      </c>
      <c r="Z408" t="n">
        <v>192</v>
      </c>
      <c r="AA408" t="n">
        <v>194</v>
      </c>
      <c r="AB408" t="n">
        <v>1</v>
      </c>
      <c r="AC408" t="n">
        <v>1</v>
      </c>
      <c r="AD408" t="n">
        <v>7</v>
      </c>
      <c r="AE408" t="n">
        <v>7</v>
      </c>
      <c r="AF408" t="n">
        <v>2</v>
      </c>
      <c r="AG408" t="n">
        <v>2</v>
      </c>
      <c r="AH408" t="n">
        <v>4</v>
      </c>
      <c r="AI408" t="n">
        <v>4</v>
      </c>
      <c r="AJ408" t="n">
        <v>4</v>
      </c>
      <c r="AK408" t="n">
        <v>4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HYPERLINK("https://creighton-primo.hosted.exlibrisgroup.com/primo-explore/search?tab=default_tab&amp;search_scope=EVERYTHING&amp;vid=01CRU&amp;lang=en_US&amp;offset=0&amp;query=any,contains,991001795409702656","Catalog Record")</f>
        <v/>
      </c>
      <c r="AT408">
        <f>HYPERLINK("http://www.worldcat.org/oclc/7998547","WorldCat Record")</f>
        <v/>
      </c>
    </row>
    <row r="409">
      <c r="A409" t="inlineStr">
        <is>
          <t>No</t>
        </is>
      </c>
      <c r="B409" t="inlineStr">
        <is>
          <t>R724 .S599 1998</t>
        </is>
      </c>
      <c r="C409" t="inlineStr">
        <is>
          <t>0                      R  0724000S  599         1998</t>
        </is>
      </c>
      <c r="D409" t="inlineStr">
        <is>
          <t>Source book in bioethics : [a documentary history] / edited by Albert R. Jonsen, Robert M. Veatch, LeRoy Walters.</t>
        </is>
      </c>
      <c r="F409" t="inlineStr">
        <is>
          <t>No</t>
        </is>
      </c>
      <c r="G409" t="inlineStr">
        <is>
          <t>2</t>
        </is>
      </c>
      <c r="H409" t="inlineStr">
        <is>
          <t>Yes</t>
        </is>
      </c>
      <c r="I409" t="inlineStr">
        <is>
          <t>No</t>
        </is>
      </c>
      <c r="J409" t="inlineStr">
        <is>
          <t>0</t>
        </is>
      </c>
      <c r="L409" t="inlineStr">
        <is>
          <t>Washington, D.C. : Georgetown University Press, c1998.</t>
        </is>
      </c>
      <c r="M409" t="inlineStr">
        <is>
          <t>1998</t>
        </is>
      </c>
      <c r="O409" t="inlineStr">
        <is>
          <t>eng</t>
        </is>
      </c>
      <c r="P409" t="inlineStr">
        <is>
          <t>dcu</t>
        </is>
      </c>
      <c r="R409" t="inlineStr">
        <is>
          <t xml:space="preserve">R  </t>
        </is>
      </c>
      <c r="S409" t="n">
        <v>1</v>
      </c>
      <c r="T409" t="n">
        <v>21</v>
      </c>
      <c r="U409" t="inlineStr">
        <is>
          <t>2008-07-16</t>
        </is>
      </c>
      <c r="V409" t="inlineStr">
        <is>
          <t>2008-07-16</t>
        </is>
      </c>
      <c r="W409" t="inlineStr">
        <is>
          <t>2007-02-08</t>
        </is>
      </c>
      <c r="X409" t="inlineStr">
        <is>
          <t>2007-02-08</t>
        </is>
      </c>
      <c r="Y409" t="n">
        <v>778</v>
      </c>
      <c r="Z409" t="n">
        <v>694</v>
      </c>
      <c r="AA409" t="n">
        <v>717</v>
      </c>
      <c r="AB409" t="n">
        <v>3</v>
      </c>
      <c r="AC409" t="n">
        <v>3</v>
      </c>
      <c r="AD409" t="n">
        <v>40</v>
      </c>
      <c r="AE409" t="n">
        <v>40</v>
      </c>
      <c r="AF409" t="n">
        <v>12</v>
      </c>
      <c r="AG409" t="n">
        <v>12</v>
      </c>
      <c r="AH409" t="n">
        <v>8</v>
      </c>
      <c r="AI409" t="n">
        <v>8</v>
      </c>
      <c r="AJ409" t="n">
        <v>15</v>
      </c>
      <c r="AK409" t="n">
        <v>15</v>
      </c>
      <c r="AL409" t="n">
        <v>1</v>
      </c>
      <c r="AM409" t="n">
        <v>1</v>
      </c>
      <c r="AN409" t="n">
        <v>11</v>
      </c>
      <c r="AO409" t="n">
        <v>11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HYPERLINK("http://catalog.hathitrust.org/Record/004018307","HathiTrust Record")</f>
        <v/>
      </c>
      <c r="AS409">
        <f>HYPERLINK("https://creighton-primo.hosted.exlibrisgroup.com/primo-explore/search?tab=default_tab&amp;search_scope=EVERYTHING&amp;vid=01CRU&amp;lang=en_US&amp;offset=0&amp;query=any,contains,991001693119702656","Catalog Record")</f>
        <v/>
      </c>
      <c r="AT409">
        <f>HYPERLINK("http://www.worldcat.org/oclc/37695741","WorldCat Record")</f>
        <v/>
      </c>
    </row>
    <row r="410">
      <c r="A410" t="inlineStr">
        <is>
          <t>No</t>
        </is>
      </c>
      <c r="B410" t="inlineStr">
        <is>
          <t>R724 .V35 1974</t>
        </is>
      </c>
      <c r="C410" t="inlineStr">
        <is>
          <t>0                      R  0724000V  35          1974</t>
        </is>
      </c>
      <c r="D410" t="inlineStr">
        <is>
          <t>Biomedical ethics; morality for the new medicine.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Vaux, Kenneth L., 1939-</t>
        </is>
      </c>
      <c r="L410" t="inlineStr">
        <is>
          <t>New York, Harper &amp; Row [1974]</t>
        </is>
      </c>
      <c r="M410" t="inlineStr">
        <is>
          <t>1974</t>
        </is>
      </c>
      <c r="N410" t="inlineStr">
        <is>
          <t>[1st ed.]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R  </t>
        </is>
      </c>
      <c r="S410" t="n">
        <v>13</v>
      </c>
      <c r="T410" t="n">
        <v>13</v>
      </c>
      <c r="U410" t="inlineStr">
        <is>
          <t>1994-11-11</t>
        </is>
      </c>
      <c r="V410" t="inlineStr">
        <is>
          <t>1994-11-11</t>
        </is>
      </c>
      <c r="W410" t="inlineStr">
        <is>
          <t>1987-10-08</t>
        </is>
      </c>
      <c r="X410" t="inlineStr">
        <is>
          <t>1987-10-08</t>
        </is>
      </c>
      <c r="Y410" t="n">
        <v>598</v>
      </c>
      <c r="Z410" t="n">
        <v>537</v>
      </c>
      <c r="AA410" t="n">
        <v>569</v>
      </c>
      <c r="AB410" t="n">
        <v>2</v>
      </c>
      <c r="AC410" t="n">
        <v>3</v>
      </c>
      <c r="AD410" t="n">
        <v>26</v>
      </c>
      <c r="AE410" t="n">
        <v>28</v>
      </c>
      <c r="AF410" t="n">
        <v>5</v>
      </c>
      <c r="AG410" t="n">
        <v>6</v>
      </c>
      <c r="AH410" t="n">
        <v>8</v>
      </c>
      <c r="AI410" t="n">
        <v>8</v>
      </c>
      <c r="AJ410" t="n">
        <v>18</v>
      </c>
      <c r="AK410" t="n">
        <v>18</v>
      </c>
      <c r="AL410" t="n">
        <v>1</v>
      </c>
      <c r="AM410" t="n">
        <v>2</v>
      </c>
      <c r="AN410" t="n">
        <v>1</v>
      </c>
      <c r="AO410" t="n">
        <v>1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HYPERLINK("http://catalog.hathitrust.org/Record/001557846","HathiTrust Record")</f>
        <v/>
      </c>
      <c r="AS410">
        <f>HYPERLINK("https://creighton-primo.hosted.exlibrisgroup.com/primo-explore/search?tab=default_tab&amp;search_scope=EVERYTHING&amp;vid=01CRU&amp;lang=en_US&amp;offset=0&amp;query=any,contains,991001459689702656","Catalog Record")</f>
        <v/>
      </c>
      <c r="AT410">
        <f>HYPERLINK("http://www.worldcat.org/oclc/827870","WorldCat Record")</f>
        <v/>
      </c>
    </row>
    <row r="411">
      <c r="A411" t="inlineStr">
        <is>
          <t>No</t>
        </is>
      </c>
      <c r="B411" t="inlineStr">
        <is>
          <t>R724 .V4</t>
        </is>
      </c>
      <c r="C411" t="inlineStr">
        <is>
          <t>0                      R  0724000V  4</t>
        </is>
      </c>
      <c r="D411" t="inlineStr">
        <is>
          <t>Case studies in medical ethics / Robert M. Veatch.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Veatch, Robert M.</t>
        </is>
      </c>
      <c r="L411" t="inlineStr">
        <is>
          <t>Cambridge, Mass. : Harvard University Press, 1977.</t>
        </is>
      </c>
      <c r="M411" t="inlineStr">
        <is>
          <t>1977</t>
        </is>
      </c>
      <c r="O411" t="inlineStr">
        <is>
          <t>eng</t>
        </is>
      </c>
      <c r="P411" t="inlineStr">
        <is>
          <t>mau</t>
        </is>
      </c>
      <c r="R411" t="inlineStr">
        <is>
          <t xml:space="preserve">R  </t>
        </is>
      </c>
      <c r="S411" t="n">
        <v>28</v>
      </c>
      <c r="T411" t="n">
        <v>28</v>
      </c>
      <c r="U411" t="inlineStr">
        <is>
          <t>2000-03-28</t>
        </is>
      </c>
      <c r="V411" t="inlineStr">
        <is>
          <t>2000-03-28</t>
        </is>
      </c>
      <c r="W411" t="inlineStr">
        <is>
          <t>1988-04-11</t>
        </is>
      </c>
      <c r="X411" t="inlineStr">
        <is>
          <t>1988-04-11</t>
        </is>
      </c>
      <c r="Y411" t="n">
        <v>977</v>
      </c>
      <c r="Z411" t="n">
        <v>824</v>
      </c>
      <c r="AA411" t="n">
        <v>832</v>
      </c>
      <c r="AB411" t="n">
        <v>4</v>
      </c>
      <c r="AC411" t="n">
        <v>4</v>
      </c>
      <c r="AD411" t="n">
        <v>47</v>
      </c>
      <c r="AE411" t="n">
        <v>47</v>
      </c>
      <c r="AF411" t="n">
        <v>18</v>
      </c>
      <c r="AG411" t="n">
        <v>18</v>
      </c>
      <c r="AH411" t="n">
        <v>9</v>
      </c>
      <c r="AI411" t="n">
        <v>9</v>
      </c>
      <c r="AJ411" t="n">
        <v>21</v>
      </c>
      <c r="AK411" t="n">
        <v>21</v>
      </c>
      <c r="AL411" t="n">
        <v>3</v>
      </c>
      <c r="AM411" t="n">
        <v>3</v>
      </c>
      <c r="AN411" t="n">
        <v>7</v>
      </c>
      <c r="AO411" t="n">
        <v>7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HYPERLINK("http://catalog.hathitrust.org/Record/000738703","HathiTrust Record")</f>
        <v/>
      </c>
      <c r="AS411">
        <f>HYPERLINK("https://creighton-primo.hosted.exlibrisgroup.com/primo-explore/search?tab=default_tab&amp;search_scope=EVERYTHING&amp;vid=01CRU&amp;lang=en_US&amp;offset=0&amp;query=any,contains,991001541209702656","Catalog Record")</f>
        <v/>
      </c>
      <c r="AT411">
        <f>HYPERLINK("http://www.worldcat.org/oclc/2595503","WorldCat Record")</f>
        <v/>
      </c>
    </row>
    <row r="412">
      <c r="A412" t="inlineStr">
        <is>
          <t>No</t>
        </is>
      </c>
      <c r="B412" t="inlineStr">
        <is>
          <t>R724 .V42</t>
        </is>
      </c>
      <c r="C412" t="inlineStr">
        <is>
          <t>0                      R  0724000V  42</t>
        </is>
      </c>
      <c r="D412" t="inlineStr">
        <is>
          <t>A theory of medical ethics / Robert M. Veatch.</t>
        </is>
      </c>
      <c r="F412" t="inlineStr">
        <is>
          <t>No</t>
        </is>
      </c>
      <c r="G412" t="inlineStr">
        <is>
          <t>1</t>
        </is>
      </c>
      <c r="H412" t="inlineStr">
        <is>
          <t>Yes</t>
        </is>
      </c>
      <c r="I412" t="inlineStr">
        <is>
          <t>No</t>
        </is>
      </c>
      <c r="J412" t="inlineStr">
        <is>
          <t>0</t>
        </is>
      </c>
      <c r="K412" t="inlineStr">
        <is>
          <t>Veatch, Robert M.</t>
        </is>
      </c>
      <c r="L412" t="inlineStr">
        <is>
          <t>New York : Basic Books, c1981.</t>
        </is>
      </c>
      <c r="M412" t="inlineStr">
        <is>
          <t>1981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R  </t>
        </is>
      </c>
      <c r="S412" t="n">
        <v>36</v>
      </c>
      <c r="T412" t="n">
        <v>45</v>
      </c>
      <c r="U412" t="inlineStr">
        <is>
          <t>2003-11-07</t>
        </is>
      </c>
      <c r="V412" t="inlineStr">
        <is>
          <t>2004-11-16</t>
        </is>
      </c>
      <c r="W412" t="inlineStr">
        <is>
          <t>1987-10-05</t>
        </is>
      </c>
      <c r="X412" t="inlineStr">
        <is>
          <t>1990-07-20</t>
        </is>
      </c>
      <c r="Y412" t="n">
        <v>861</v>
      </c>
      <c r="Z412" t="n">
        <v>742</v>
      </c>
      <c r="AA412" t="n">
        <v>748</v>
      </c>
      <c r="AB412" t="n">
        <v>4</v>
      </c>
      <c r="AC412" t="n">
        <v>4</v>
      </c>
      <c r="AD412" t="n">
        <v>40</v>
      </c>
      <c r="AE412" t="n">
        <v>40</v>
      </c>
      <c r="AF412" t="n">
        <v>15</v>
      </c>
      <c r="AG412" t="n">
        <v>15</v>
      </c>
      <c r="AH412" t="n">
        <v>6</v>
      </c>
      <c r="AI412" t="n">
        <v>6</v>
      </c>
      <c r="AJ412" t="n">
        <v>20</v>
      </c>
      <c r="AK412" t="n">
        <v>20</v>
      </c>
      <c r="AL412" t="n">
        <v>2</v>
      </c>
      <c r="AM412" t="n">
        <v>2</v>
      </c>
      <c r="AN412" t="n">
        <v>7</v>
      </c>
      <c r="AO412" t="n">
        <v>7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HYPERLINK("http://catalog.hathitrust.org/Record/000104024","HathiTrust Record")</f>
        <v/>
      </c>
      <c r="AS412">
        <f>HYPERLINK("https://creighton-primo.hosted.exlibrisgroup.com/primo-explore/search?tab=default_tab&amp;search_scope=EVERYTHING&amp;vid=01CRU&amp;lang=en_US&amp;offset=0&amp;query=any,contains,991001801379702656","Catalog Record")</f>
        <v/>
      </c>
      <c r="AT412">
        <f>HYPERLINK("http://www.worldcat.org/oclc/7739374","WorldCat Record")</f>
        <v/>
      </c>
    </row>
    <row r="413">
      <c r="A413" t="inlineStr">
        <is>
          <t>No</t>
        </is>
      </c>
      <c r="B413" t="inlineStr">
        <is>
          <t>R724 .W34</t>
        </is>
      </c>
      <c r="C413" t="inlineStr">
        <is>
          <t>0                      R  0724000W  34</t>
        </is>
      </c>
      <c r="D413" t="inlineStr">
        <is>
          <t>Morality in medicine : an introduction to medical ethics / Richard Warner.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Warner, Richard, 1946-</t>
        </is>
      </c>
      <c r="L413" t="inlineStr">
        <is>
          <t>Sherman Oaks, Calif. : Alfred Pub. Co., [1980]</t>
        </is>
      </c>
      <c r="M413" t="inlineStr">
        <is>
          <t>1980</t>
        </is>
      </c>
      <c r="O413" t="inlineStr">
        <is>
          <t>eng</t>
        </is>
      </c>
      <c r="P413" t="inlineStr">
        <is>
          <t>cau</t>
        </is>
      </c>
      <c r="R413" t="inlineStr">
        <is>
          <t xml:space="preserve">R  </t>
        </is>
      </c>
      <c r="S413" t="n">
        <v>11</v>
      </c>
      <c r="T413" t="n">
        <v>11</v>
      </c>
      <c r="U413" t="inlineStr">
        <is>
          <t>2000-10-28</t>
        </is>
      </c>
      <c r="V413" t="inlineStr">
        <is>
          <t>2000-10-28</t>
        </is>
      </c>
      <c r="W413" t="inlineStr">
        <is>
          <t>1987-12-19</t>
        </is>
      </c>
      <c r="X413" t="inlineStr">
        <is>
          <t>1987-12-19</t>
        </is>
      </c>
      <c r="Y413" t="n">
        <v>143</v>
      </c>
      <c r="Z413" t="n">
        <v>131</v>
      </c>
      <c r="AA413" t="n">
        <v>134</v>
      </c>
      <c r="AB413" t="n">
        <v>3</v>
      </c>
      <c r="AC413" t="n">
        <v>3</v>
      </c>
      <c r="AD413" t="n">
        <v>7</v>
      </c>
      <c r="AE413" t="n">
        <v>7</v>
      </c>
      <c r="AF413" t="n">
        <v>3</v>
      </c>
      <c r="AG413" t="n">
        <v>3</v>
      </c>
      <c r="AH413" t="n">
        <v>0</v>
      </c>
      <c r="AI413" t="n">
        <v>0</v>
      </c>
      <c r="AJ413" t="n">
        <v>5</v>
      </c>
      <c r="AK413" t="n">
        <v>5</v>
      </c>
      <c r="AL413" t="n">
        <v>2</v>
      </c>
      <c r="AM413" t="n">
        <v>2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HYPERLINK("http://catalog.hathitrust.org/Record/000029730","HathiTrust Record")</f>
        <v/>
      </c>
      <c r="AS413">
        <f>HYPERLINK("https://creighton-primo.hosted.exlibrisgroup.com/primo-explore/search?tab=default_tab&amp;search_scope=EVERYTHING&amp;vid=01CRU&amp;lang=en_US&amp;offset=0&amp;query=any,contains,991001541269702656","Catalog Record")</f>
        <v/>
      </c>
      <c r="AT413">
        <f>HYPERLINK("http://www.worldcat.org/oclc/5564933","WorldCat Record")</f>
        <v/>
      </c>
    </row>
    <row r="414">
      <c r="A414" t="inlineStr">
        <is>
          <t>No</t>
        </is>
      </c>
      <c r="B414" t="inlineStr">
        <is>
          <t>R724 .W365 1998</t>
        </is>
      </c>
      <c r="C414" t="inlineStr">
        <is>
          <t>0                      R  0724000W  365         1998</t>
        </is>
      </c>
      <c r="D414" t="inlineStr">
        <is>
          <t>In the face of suffering : the philosophical-anthropological foundations of clinical ethics / Jos V.M. Welie.</t>
        </is>
      </c>
      <c r="F414" t="inlineStr">
        <is>
          <t>No</t>
        </is>
      </c>
      <c r="G414" t="inlineStr">
        <is>
          <t>1</t>
        </is>
      </c>
      <c r="H414" t="inlineStr">
        <is>
          <t>Yes</t>
        </is>
      </c>
      <c r="I414" t="inlineStr">
        <is>
          <t>No</t>
        </is>
      </c>
      <c r="J414" t="inlineStr">
        <is>
          <t>0</t>
        </is>
      </c>
      <c r="K414" t="inlineStr">
        <is>
          <t>Welie, Jos V. M.</t>
        </is>
      </c>
      <c r="L414" t="inlineStr">
        <is>
          <t>Omaha, Neb. : Creighton University Press : Association of Jesuit University Presses, c1998.</t>
        </is>
      </c>
      <c r="M414" t="inlineStr">
        <is>
          <t>1998</t>
        </is>
      </c>
      <c r="O414" t="inlineStr">
        <is>
          <t>eng</t>
        </is>
      </c>
      <c r="P414" t="inlineStr">
        <is>
          <t>nbu</t>
        </is>
      </c>
      <c r="Q414" t="inlineStr">
        <is>
          <t>The philosophical-anthropological foundations of clinical ethics</t>
        </is>
      </c>
      <c r="R414" t="inlineStr">
        <is>
          <t xml:space="preserve">R  </t>
        </is>
      </c>
      <c r="S414" t="n">
        <v>19</v>
      </c>
      <c r="T414" t="n">
        <v>28</v>
      </c>
      <c r="U414" t="inlineStr">
        <is>
          <t>2010-03-20</t>
        </is>
      </c>
      <c r="V414" t="inlineStr">
        <is>
          <t>2010-03-20</t>
        </is>
      </c>
      <c r="W414" t="inlineStr">
        <is>
          <t>1999-06-16</t>
        </is>
      </c>
      <c r="X414" t="inlineStr">
        <is>
          <t>1999-08-18</t>
        </is>
      </c>
      <c r="Y414" t="n">
        <v>160</v>
      </c>
      <c r="Z414" t="n">
        <v>139</v>
      </c>
      <c r="AA414" t="n">
        <v>1038</v>
      </c>
      <c r="AB414" t="n">
        <v>2</v>
      </c>
      <c r="AC414" t="n">
        <v>5</v>
      </c>
      <c r="AD414" t="n">
        <v>10</v>
      </c>
      <c r="AE414" t="n">
        <v>30</v>
      </c>
      <c r="AF414" t="n">
        <v>0</v>
      </c>
      <c r="AG414" t="n">
        <v>12</v>
      </c>
      <c r="AH414" t="n">
        <v>5</v>
      </c>
      <c r="AI414" t="n">
        <v>8</v>
      </c>
      <c r="AJ414" t="n">
        <v>7</v>
      </c>
      <c r="AK414" t="n">
        <v>14</v>
      </c>
      <c r="AL414" t="n">
        <v>0</v>
      </c>
      <c r="AM414" t="n">
        <v>3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HYPERLINK("http://catalog.hathitrust.org/Record/004097919","HathiTrust Record")</f>
        <v/>
      </c>
      <c r="AS414">
        <f>HYPERLINK("https://creighton-primo.hosted.exlibrisgroup.com/primo-explore/search?tab=default_tab&amp;search_scope=EVERYTHING&amp;vid=01CRU&amp;lang=en_US&amp;offset=0&amp;query=any,contains,991001761399702656","Catalog Record")</f>
        <v/>
      </c>
      <c r="AT414">
        <f>HYPERLINK("http://www.worldcat.org/oclc/41508760","WorldCat Record")</f>
        <v/>
      </c>
    </row>
    <row r="415">
      <c r="A415" t="inlineStr">
        <is>
          <t>No</t>
        </is>
      </c>
      <c r="B415" t="inlineStr">
        <is>
          <t>R724 .W64</t>
        </is>
      </c>
      <c r="C415" t="inlineStr">
        <is>
          <t>0                      R  0724000W  64</t>
        </is>
      </c>
      <c r="D415" t="inlineStr">
        <is>
          <t>Muted consent : a casebook in modern medical ethics / by Jan Wojcik. --</t>
        </is>
      </c>
      <c r="F415" t="inlineStr">
        <is>
          <t>No</t>
        </is>
      </c>
      <c r="G415" t="inlineStr">
        <is>
          <t>1</t>
        </is>
      </c>
      <c r="H415" t="inlineStr">
        <is>
          <t>Yes</t>
        </is>
      </c>
      <c r="I415" t="inlineStr">
        <is>
          <t>No</t>
        </is>
      </c>
      <c r="J415" t="inlineStr">
        <is>
          <t>0</t>
        </is>
      </c>
      <c r="K415" t="inlineStr">
        <is>
          <t>Wójcik, Jan.</t>
        </is>
      </c>
      <c r="L415" t="inlineStr">
        <is>
          <t>West Lafayette, Ind. : Purdue University, 1978.</t>
        </is>
      </c>
      <c r="M415" t="inlineStr">
        <is>
          <t>1978</t>
        </is>
      </c>
      <c r="O415" t="inlineStr">
        <is>
          <t>eng</t>
        </is>
      </c>
      <c r="P415" t="inlineStr">
        <is>
          <t>inu</t>
        </is>
      </c>
      <c r="Q415" t="inlineStr">
        <is>
          <t>Science and society ; v. 1</t>
        </is>
      </c>
      <c r="R415" t="inlineStr">
        <is>
          <t xml:space="preserve">R  </t>
        </is>
      </c>
      <c r="S415" t="n">
        <v>4</v>
      </c>
      <c r="T415" t="n">
        <v>15</v>
      </c>
      <c r="U415" t="inlineStr">
        <is>
          <t>2006-09-13</t>
        </is>
      </c>
      <c r="V415" t="inlineStr">
        <is>
          <t>2008-02-16</t>
        </is>
      </c>
      <c r="W415" t="inlineStr">
        <is>
          <t>1987-12-18</t>
        </is>
      </c>
      <c r="X415" t="inlineStr">
        <is>
          <t>1992-04-27</t>
        </is>
      </c>
      <c r="Y415" t="n">
        <v>439</v>
      </c>
      <c r="Z415" t="n">
        <v>405</v>
      </c>
      <c r="AA415" t="n">
        <v>408</v>
      </c>
      <c r="AB415" t="n">
        <v>2</v>
      </c>
      <c r="AC415" t="n">
        <v>2</v>
      </c>
      <c r="AD415" t="n">
        <v>25</v>
      </c>
      <c r="AE415" t="n">
        <v>25</v>
      </c>
      <c r="AF415" t="n">
        <v>9</v>
      </c>
      <c r="AG415" t="n">
        <v>9</v>
      </c>
      <c r="AH415" t="n">
        <v>4</v>
      </c>
      <c r="AI415" t="n">
        <v>4</v>
      </c>
      <c r="AJ415" t="n">
        <v>12</v>
      </c>
      <c r="AK415" t="n">
        <v>12</v>
      </c>
      <c r="AL415" t="n">
        <v>0</v>
      </c>
      <c r="AM415" t="n">
        <v>0</v>
      </c>
      <c r="AN415" t="n">
        <v>6</v>
      </c>
      <c r="AO415" t="n">
        <v>6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HYPERLINK("http://catalog.hathitrust.org/Record/000136964","HathiTrust Record")</f>
        <v/>
      </c>
      <c r="AS415">
        <f>HYPERLINK("https://creighton-primo.hosted.exlibrisgroup.com/primo-explore/search?tab=default_tab&amp;search_scope=EVERYTHING&amp;vid=01CRU&amp;lang=en_US&amp;offset=0&amp;query=any,contains,991001805779702656","Catalog Record")</f>
        <v/>
      </c>
      <c r="AT415">
        <f>HYPERLINK("http://www.worldcat.org/oclc/3884524","WorldCat Record")</f>
        <v/>
      </c>
    </row>
    <row r="416">
      <c r="A416" t="inlineStr">
        <is>
          <t>No</t>
        </is>
      </c>
      <c r="B416" t="inlineStr">
        <is>
          <t>R725.5 .R63 1993</t>
        </is>
      </c>
      <c r="C416" t="inlineStr">
        <is>
          <t>0                      R  0725500R  63          1993</t>
        </is>
      </c>
      <c r="D416" t="inlineStr">
        <is>
          <t>Medicine, money, and morals : physicians' conflicts of interest / Marc A. Rodwin.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1</t>
        </is>
      </c>
      <c r="K416" t="inlineStr">
        <is>
          <t>Rodwin, Marc A.</t>
        </is>
      </c>
      <c r="L416" t="inlineStr">
        <is>
          <t>New York : Oxford University Press, 1993.</t>
        </is>
      </c>
      <c r="M416" t="inlineStr">
        <is>
          <t>1993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R  </t>
        </is>
      </c>
      <c r="S416" t="n">
        <v>13</v>
      </c>
      <c r="T416" t="n">
        <v>13</v>
      </c>
      <c r="U416" t="inlineStr">
        <is>
          <t>2005-10-17</t>
        </is>
      </c>
      <c r="V416" t="inlineStr">
        <is>
          <t>2005-10-17</t>
        </is>
      </c>
      <c r="W416" t="inlineStr">
        <is>
          <t>1993-07-13</t>
        </is>
      </c>
      <c r="X416" t="inlineStr">
        <is>
          <t>1993-07-13</t>
        </is>
      </c>
      <c r="Y416" t="n">
        <v>1000</v>
      </c>
      <c r="Z416" t="n">
        <v>901</v>
      </c>
      <c r="AA416" t="n">
        <v>1682</v>
      </c>
      <c r="AB416" t="n">
        <v>4</v>
      </c>
      <c r="AC416" t="n">
        <v>15</v>
      </c>
      <c r="AD416" t="n">
        <v>51</v>
      </c>
      <c r="AE416" t="n">
        <v>76</v>
      </c>
      <c r="AF416" t="n">
        <v>18</v>
      </c>
      <c r="AG416" t="n">
        <v>25</v>
      </c>
      <c r="AH416" t="n">
        <v>5</v>
      </c>
      <c r="AI416" t="n">
        <v>10</v>
      </c>
      <c r="AJ416" t="n">
        <v>19</v>
      </c>
      <c r="AK416" t="n">
        <v>23</v>
      </c>
      <c r="AL416" t="n">
        <v>2</v>
      </c>
      <c r="AM416" t="n">
        <v>12</v>
      </c>
      <c r="AN416" t="n">
        <v>15</v>
      </c>
      <c r="AO416" t="n">
        <v>16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HYPERLINK("http://catalog.hathitrust.org/Record/002647827","HathiTrust Record")</f>
        <v/>
      </c>
      <c r="AS416">
        <f>HYPERLINK("https://creighton-primo.hosted.exlibrisgroup.com/primo-explore/search?tab=default_tab&amp;search_scope=EVERYTHING&amp;vid=01CRU&amp;lang=en_US&amp;offset=0&amp;query=any,contains,991001480629702656","Catalog Record")</f>
        <v/>
      </c>
      <c r="AT416">
        <f>HYPERLINK("http://www.worldcat.org/oclc/26592579","WorldCat Record")</f>
        <v/>
      </c>
    </row>
    <row r="417">
      <c r="A417" t="inlineStr">
        <is>
          <t>No</t>
        </is>
      </c>
      <c r="B417" t="inlineStr">
        <is>
          <t>R725.56 .C37 1989</t>
        </is>
      </c>
      <c r="C417" t="inlineStr">
        <is>
          <t>0                      R  0725560C  37          1989</t>
        </is>
      </c>
      <c r="D417" t="inlineStr">
        <is>
          <t>Catholic perspectives on medical morals : foundational issues / edited by Edmund D. Pellegrino, John P. Langan and John Collins Harvey.</t>
        </is>
      </c>
      <c r="E417" t="inlineStr">
        <is>
          <t>V.34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Dordrecht ; Boston : Kluwer Academic Publishers, c1989.</t>
        </is>
      </c>
      <c r="M417" t="inlineStr">
        <is>
          <t>1989</t>
        </is>
      </c>
      <c r="O417" t="inlineStr">
        <is>
          <t>eng</t>
        </is>
      </c>
      <c r="P417" t="inlineStr">
        <is>
          <t xml:space="preserve">ne </t>
        </is>
      </c>
      <c r="Q417" t="inlineStr">
        <is>
          <t>Philosophy and medicine ; v. 34</t>
        </is>
      </c>
      <c r="R417" t="inlineStr">
        <is>
          <t xml:space="preserve">R  </t>
        </is>
      </c>
      <c r="S417" t="n">
        <v>9</v>
      </c>
      <c r="T417" t="n">
        <v>29</v>
      </c>
      <c r="U417" t="inlineStr">
        <is>
          <t>2000-11-14</t>
        </is>
      </c>
      <c r="V417" t="inlineStr">
        <is>
          <t>2002-04-08</t>
        </is>
      </c>
      <c r="W417" t="inlineStr">
        <is>
          <t>1989-08-15</t>
        </is>
      </c>
      <c r="X417" t="inlineStr">
        <is>
          <t>1993-01-26</t>
        </is>
      </c>
      <c r="Y417" t="n">
        <v>388</v>
      </c>
      <c r="Z417" t="n">
        <v>303</v>
      </c>
      <c r="AA417" t="n">
        <v>312</v>
      </c>
      <c r="AB417" t="n">
        <v>2</v>
      </c>
      <c r="AC417" t="n">
        <v>2</v>
      </c>
      <c r="AD417" t="n">
        <v>35</v>
      </c>
      <c r="AE417" t="n">
        <v>35</v>
      </c>
      <c r="AF417" t="n">
        <v>10</v>
      </c>
      <c r="AG417" t="n">
        <v>10</v>
      </c>
      <c r="AH417" t="n">
        <v>11</v>
      </c>
      <c r="AI417" t="n">
        <v>11</v>
      </c>
      <c r="AJ417" t="n">
        <v>23</v>
      </c>
      <c r="AK417" t="n">
        <v>23</v>
      </c>
      <c r="AL417" t="n">
        <v>0</v>
      </c>
      <c r="AM417" t="n">
        <v>0</v>
      </c>
      <c r="AN417" t="n">
        <v>3</v>
      </c>
      <c r="AO417" t="n">
        <v>3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HYPERLINK("http://catalog.hathitrust.org/Record/001105803","HathiTrust Record")</f>
        <v/>
      </c>
      <c r="AS417">
        <f>HYPERLINK("https://creighton-primo.hosted.exlibrisgroup.com/primo-explore/search?tab=default_tab&amp;search_scope=EVERYTHING&amp;vid=01CRU&amp;lang=en_US&amp;offset=0&amp;query=any,contains,991001794269702656","Catalog Record")</f>
        <v/>
      </c>
      <c r="AT417">
        <f>HYPERLINK("http://www.worldcat.org/oclc/18327337","WorldCat Record")</f>
        <v/>
      </c>
    </row>
    <row r="418">
      <c r="A418" t="inlineStr">
        <is>
          <t>No</t>
        </is>
      </c>
      <c r="B418" t="inlineStr">
        <is>
          <t>R725.56 .M34 1984</t>
        </is>
      </c>
      <c r="C418" t="inlineStr">
        <is>
          <t>0                      R  0725560M  34          1984</t>
        </is>
      </c>
      <c r="D418" t="inlineStr">
        <is>
          <t>Bio-ethics and belief : religion and medicine in dialogue / John Mahoney.</t>
        </is>
      </c>
      <c r="F418" t="inlineStr">
        <is>
          <t>No</t>
        </is>
      </c>
      <c r="G418" t="inlineStr">
        <is>
          <t>1</t>
        </is>
      </c>
      <c r="H418" t="inlineStr">
        <is>
          <t>Yes</t>
        </is>
      </c>
      <c r="I418" t="inlineStr">
        <is>
          <t>Yes</t>
        </is>
      </c>
      <c r="J418" t="inlineStr">
        <is>
          <t>0</t>
        </is>
      </c>
      <c r="K418" t="inlineStr">
        <is>
          <t>Mahoney, John.</t>
        </is>
      </c>
      <c r="L418" t="inlineStr">
        <is>
          <t>London : Sheed &amp; Ward, 1984.</t>
        </is>
      </c>
      <c r="M418" t="inlineStr">
        <is>
          <t>1984</t>
        </is>
      </c>
      <c r="O418" t="inlineStr">
        <is>
          <t>eng</t>
        </is>
      </c>
      <c r="P418" t="inlineStr">
        <is>
          <t>enk</t>
        </is>
      </c>
      <c r="R418" t="inlineStr">
        <is>
          <t xml:space="preserve">R  </t>
        </is>
      </c>
      <c r="S418" t="n">
        <v>9</v>
      </c>
      <c r="T418" t="n">
        <v>9</v>
      </c>
      <c r="U418" t="inlineStr">
        <is>
          <t>2002-10-30</t>
        </is>
      </c>
      <c r="V418" t="inlineStr">
        <is>
          <t>2002-10-30</t>
        </is>
      </c>
      <c r="W418" t="inlineStr">
        <is>
          <t>1987-10-02</t>
        </is>
      </c>
      <c r="X418" t="inlineStr">
        <is>
          <t>2009-10-08</t>
        </is>
      </c>
      <c r="Y418" t="n">
        <v>202</v>
      </c>
      <c r="Z418" t="n">
        <v>101</v>
      </c>
      <c r="AA418" t="n">
        <v>187</v>
      </c>
      <c r="AB418" t="n">
        <v>3</v>
      </c>
      <c r="AC418" t="n">
        <v>4</v>
      </c>
      <c r="AD418" t="n">
        <v>11</v>
      </c>
      <c r="AE418" t="n">
        <v>21</v>
      </c>
      <c r="AF418" t="n">
        <v>3</v>
      </c>
      <c r="AG418" t="n">
        <v>5</v>
      </c>
      <c r="AH418" t="n">
        <v>1</v>
      </c>
      <c r="AI418" t="n">
        <v>4</v>
      </c>
      <c r="AJ418" t="n">
        <v>9</v>
      </c>
      <c r="AK418" t="n">
        <v>17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HYPERLINK("http://catalog.hathitrust.org/Record/000412692","HathiTrust Record")</f>
        <v/>
      </c>
      <c r="AS418">
        <f>HYPERLINK("https://creighton-primo.hosted.exlibrisgroup.com/primo-explore/search?tab=default_tab&amp;search_scope=EVERYTHING&amp;vid=01CRU&amp;lang=en_US&amp;offset=0&amp;query=any,contains,991001792319702656","Catalog Record")</f>
        <v/>
      </c>
      <c r="AT418">
        <f>HYPERLINK("http://www.worldcat.org/oclc/12941223","WorldCat Record")</f>
        <v/>
      </c>
    </row>
    <row r="419">
      <c r="A419" t="inlineStr">
        <is>
          <t>No</t>
        </is>
      </c>
      <c r="B419" t="inlineStr">
        <is>
          <t>R725.56 .T44 1993</t>
        </is>
      </c>
      <c r="C419" t="inlineStr">
        <is>
          <t>0                      R  0725560T  44          1993</t>
        </is>
      </c>
      <c r="D419" t="inlineStr">
        <is>
          <t>Theological voices in medical ethics / edited by Allen Verhey and Stephen E. Lammers.</t>
        </is>
      </c>
      <c r="F419" t="inlineStr">
        <is>
          <t>No</t>
        </is>
      </c>
      <c r="G419" t="inlineStr">
        <is>
          <t>1</t>
        </is>
      </c>
      <c r="H419" t="inlineStr">
        <is>
          <t>Yes</t>
        </is>
      </c>
      <c r="I419" t="inlineStr">
        <is>
          <t>No</t>
        </is>
      </c>
      <c r="J419" t="inlineStr">
        <is>
          <t>0</t>
        </is>
      </c>
      <c r="L419" t="inlineStr">
        <is>
          <t>Grand Rapids, Mich. : W.B. Eerdmans Pub. Co., 1993.</t>
        </is>
      </c>
      <c r="M419" t="inlineStr">
        <is>
          <t>1993</t>
        </is>
      </c>
      <c r="O419" t="inlineStr">
        <is>
          <t>eng</t>
        </is>
      </c>
      <c r="P419" t="inlineStr">
        <is>
          <t>miu</t>
        </is>
      </c>
      <c r="R419" t="inlineStr">
        <is>
          <t xml:space="preserve">R  </t>
        </is>
      </c>
      <c r="S419" t="n">
        <v>9</v>
      </c>
      <c r="T419" t="n">
        <v>36</v>
      </c>
      <c r="U419" t="inlineStr">
        <is>
          <t>2001-01-25</t>
        </is>
      </c>
      <c r="V419" t="inlineStr">
        <is>
          <t>2009-11-16</t>
        </is>
      </c>
      <c r="W419" t="inlineStr">
        <is>
          <t>1993-06-15</t>
        </is>
      </c>
      <c r="X419" t="inlineStr">
        <is>
          <t>1995-05-17</t>
        </is>
      </c>
      <c r="Y419" t="n">
        <v>472</v>
      </c>
      <c r="Z419" t="n">
        <v>371</v>
      </c>
      <c r="AA419" t="n">
        <v>374</v>
      </c>
      <c r="AB419" t="n">
        <v>2</v>
      </c>
      <c r="AC419" t="n">
        <v>2</v>
      </c>
      <c r="AD419" t="n">
        <v>23</v>
      </c>
      <c r="AE419" t="n">
        <v>23</v>
      </c>
      <c r="AF419" t="n">
        <v>10</v>
      </c>
      <c r="AG419" t="n">
        <v>10</v>
      </c>
      <c r="AH419" t="n">
        <v>4</v>
      </c>
      <c r="AI419" t="n">
        <v>4</v>
      </c>
      <c r="AJ419" t="n">
        <v>12</v>
      </c>
      <c r="AK419" t="n">
        <v>12</v>
      </c>
      <c r="AL419" t="n">
        <v>0</v>
      </c>
      <c r="AM419" t="n">
        <v>0</v>
      </c>
      <c r="AN419" t="n">
        <v>2</v>
      </c>
      <c r="AO419" t="n">
        <v>2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HYPERLINK("http://catalog.hathitrust.org/Record/003016154","HathiTrust Record")</f>
        <v/>
      </c>
      <c r="AS419">
        <f>HYPERLINK("https://creighton-primo.hosted.exlibrisgroup.com/primo-explore/search?tab=default_tab&amp;search_scope=EVERYTHING&amp;vid=01CRU&amp;lang=en_US&amp;offset=0&amp;query=any,contains,991001802629702656","Catalog Record")</f>
        <v/>
      </c>
      <c r="AT419">
        <f>HYPERLINK("http://www.worldcat.org/oclc/27066826","WorldCat Record")</f>
        <v/>
      </c>
    </row>
    <row r="420">
      <c r="A420" t="inlineStr">
        <is>
          <t>No</t>
        </is>
      </c>
      <c r="B420" t="inlineStr">
        <is>
          <t>R726 .B39</t>
        </is>
      </c>
      <c r="C420" t="inlineStr">
        <is>
          <t>0                      R  0726000B  39</t>
        </is>
      </c>
      <c r="D420" t="inlineStr">
        <is>
          <t>Beneficent euthanasia / edited by Marvin Kohl.</t>
        </is>
      </c>
      <c r="F420" t="inlineStr">
        <is>
          <t>No</t>
        </is>
      </c>
      <c r="G420" t="inlineStr">
        <is>
          <t>1</t>
        </is>
      </c>
      <c r="H420" t="inlineStr">
        <is>
          <t>Yes</t>
        </is>
      </c>
      <c r="I420" t="inlineStr">
        <is>
          <t>No</t>
        </is>
      </c>
      <c r="J420" t="inlineStr">
        <is>
          <t>0</t>
        </is>
      </c>
      <c r="L420" t="inlineStr">
        <is>
          <t>Buffalo : Prometheus Books, 1975.</t>
        </is>
      </c>
      <c r="M420" t="inlineStr">
        <is>
          <t>1975</t>
        </is>
      </c>
      <c r="O420" t="inlineStr">
        <is>
          <t>eng</t>
        </is>
      </c>
      <c r="P420" t="inlineStr">
        <is>
          <t>nyu</t>
        </is>
      </c>
      <c r="R420" t="inlineStr">
        <is>
          <t xml:space="preserve">R  </t>
        </is>
      </c>
      <c r="S420" t="n">
        <v>16</v>
      </c>
      <c r="T420" t="n">
        <v>67</v>
      </c>
      <c r="U420" t="inlineStr">
        <is>
          <t>2004-12-06</t>
        </is>
      </c>
      <c r="V420" t="inlineStr">
        <is>
          <t>2009-09-27</t>
        </is>
      </c>
      <c r="W420" t="inlineStr">
        <is>
          <t>1987-10-08</t>
        </is>
      </c>
      <c r="X420" t="inlineStr">
        <is>
          <t>1992-01-16</t>
        </is>
      </c>
      <c r="Y420" t="n">
        <v>1183</v>
      </c>
      <c r="Z420" t="n">
        <v>1052</v>
      </c>
      <c r="AA420" t="n">
        <v>1066</v>
      </c>
      <c r="AB420" t="n">
        <v>9</v>
      </c>
      <c r="AC420" t="n">
        <v>9</v>
      </c>
      <c r="AD420" t="n">
        <v>41</v>
      </c>
      <c r="AE420" t="n">
        <v>42</v>
      </c>
      <c r="AF420" t="n">
        <v>13</v>
      </c>
      <c r="AG420" t="n">
        <v>14</v>
      </c>
      <c r="AH420" t="n">
        <v>6</v>
      </c>
      <c r="AI420" t="n">
        <v>6</v>
      </c>
      <c r="AJ420" t="n">
        <v>17</v>
      </c>
      <c r="AK420" t="n">
        <v>17</v>
      </c>
      <c r="AL420" t="n">
        <v>5</v>
      </c>
      <c r="AM420" t="n">
        <v>5</v>
      </c>
      <c r="AN420" t="n">
        <v>8</v>
      </c>
      <c r="AO420" t="n">
        <v>8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HYPERLINK("http://catalog.hathitrust.org/Record/000044758","HathiTrust Record")</f>
        <v/>
      </c>
      <c r="AS420">
        <f>HYPERLINK("https://creighton-primo.hosted.exlibrisgroup.com/primo-explore/search?tab=default_tab&amp;search_scope=EVERYTHING&amp;vid=01CRU&amp;lang=en_US&amp;offset=0&amp;query=any,contains,991001789009702656","Catalog Record")</f>
        <v/>
      </c>
      <c r="AT420">
        <f>HYPERLINK("http://www.worldcat.org/oclc/1527377","WorldCat Record")</f>
        <v/>
      </c>
    </row>
    <row r="421">
      <c r="A421" t="inlineStr">
        <is>
          <t>No</t>
        </is>
      </c>
      <c r="B421" t="inlineStr">
        <is>
          <t>R726 .D53</t>
        </is>
      </c>
      <c r="C421" t="inlineStr">
        <is>
          <t>0                      R  0726000D  53</t>
        </is>
      </c>
      <c r="D421" t="inlineStr">
        <is>
          <t>Dilemmas of dying : a study in the ethics of terminal care / edited by Ian Thompson.</t>
        </is>
      </c>
      <c r="F421" t="inlineStr">
        <is>
          <t>No</t>
        </is>
      </c>
      <c r="G421" t="inlineStr">
        <is>
          <t>1</t>
        </is>
      </c>
      <c r="H421" t="inlineStr">
        <is>
          <t>Yes</t>
        </is>
      </c>
      <c r="I421" t="inlineStr">
        <is>
          <t>No</t>
        </is>
      </c>
      <c r="J421" t="inlineStr">
        <is>
          <t>0</t>
        </is>
      </c>
      <c r="L421" t="inlineStr">
        <is>
          <t>Edinburgh : Edinburgh University Press, c1979.</t>
        </is>
      </c>
      <c r="M421" t="inlineStr">
        <is>
          <t>1979</t>
        </is>
      </c>
      <c r="O421" t="inlineStr">
        <is>
          <t>eng</t>
        </is>
      </c>
      <c r="P421" t="inlineStr">
        <is>
          <t>stk</t>
        </is>
      </c>
      <c r="Q421" t="inlineStr">
        <is>
          <t>Moral issues in health care ; 1</t>
        </is>
      </c>
      <c r="R421" t="inlineStr">
        <is>
          <t xml:space="preserve">R  </t>
        </is>
      </c>
      <c r="S421" t="n">
        <v>8</v>
      </c>
      <c r="T421" t="n">
        <v>41</v>
      </c>
      <c r="U421" t="inlineStr">
        <is>
          <t>2000-10-01</t>
        </is>
      </c>
      <c r="V421" t="inlineStr">
        <is>
          <t>2002-04-18</t>
        </is>
      </c>
      <c r="W421" t="inlineStr">
        <is>
          <t>1987-10-02</t>
        </is>
      </c>
      <c r="X421" t="inlineStr">
        <is>
          <t>1991-10-18</t>
        </is>
      </c>
      <c r="Y421" t="n">
        <v>379</v>
      </c>
      <c r="Z421" t="n">
        <v>244</v>
      </c>
      <c r="AA421" t="n">
        <v>249</v>
      </c>
      <c r="AB421" t="n">
        <v>5</v>
      </c>
      <c r="AC421" t="n">
        <v>5</v>
      </c>
      <c r="AD421" t="n">
        <v>11</v>
      </c>
      <c r="AE421" t="n">
        <v>11</v>
      </c>
      <c r="AF421" t="n">
        <v>3</v>
      </c>
      <c r="AG421" t="n">
        <v>3</v>
      </c>
      <c r="AH421" t="n">
        <v>1</v>
      </c>
      <c r="AI421" t="n">
        <v>1</v>
      </c>
      <c r="AJ421" t="n">
        <v>4</v>
      </c>
      <c r="AK421" t="n">
        <v>4</v>
      </c>
      <c r="AL421" t="n">
        <v>3</v>
      </c>
      <c r="AM421" t="n">
        <v>3</v>
      </c>
      <c r="AN421" t="n">
        <v>1</v>
      </c>
      <c r="AO421" t="n">
        <v>1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HYPERLINK("https://creighton-primo.hosted.exlibrisgroup.com/primo-explore/search?tab=default_tab&amp;search_scope=EVERYTHING&amp;vid=01CRU&amp;lang=en_US&amp;offset=0&amp;query=any,contains,991001789229702656","Catalog Record")</f>
        <v/>
      </c>
      <c r="AT421">
        <f>HYPERLINK("http://www.worldcat.org/oclc/6329029","WorldCat Record")</f>
        <v/>
      </c>
    </row>
    <row r="422">
      <c r="A422" t="inlineStr">
        <is>
          <t>No</t>
        </is>
      </c>
      <c r="B422" t="inlineStr">
        <is>
          <t>R726.5 .C65 1979</t>
        </is>
      </c>
      <c r="C422" t="inlineStr">
        <is>
          <t>0                      R  0726500C  65          1979</t>
        </is>
      </c>
      <c r="D422" t="inlineStr">
        <is>
          <t>Compliance in health care / edited by R. Brian Haynes, D. Wayne Taylor, and David L. Sackett.</t>
        </is>
      </c>
      <c r="F422" t="inlineStr">
        <is>
          <t>No</t>
        </is>
      </c>
      <c r="G422" t="inlineStr">
        <is>
          <t>1</t>
        </is>
      </c>
      <c r="H422" t="inlineStr">
        <is>
          <t>Yes</t>
        </is>
      </c>
      <c r="I422" t="inlineStr">
        <is>
          <t>No</t>
        </is>
      </c>
      <c r="J422" t="inlineStr">
        <is>
          <t>0</t>
        </is>
      </c>
      <c r="L422" t="inlineStr">
        <is>
          <t>Baltimore : Johns Hopkins University Press, c1979.</t>
        </is>
      </c>
      <c r="M422" t="inlineStr">
        <is>
          <t>1979</t>
        </is>
      </c>
      <c r="O422" t="inlineStr">
        <is>
          <t>eng</t>
        </is>
      </c>
      <c r="P422" t="inlineStr">
        <is>
          <t>mdu</t>
        </is>
      </c>
      <c r="R422" t="inlineStr">
        <is>
          <t xml:space="preserve">R  </t>
        </is>
      </c>
      <c r="S422" t="n">
        <v>30</v>
      </c>
      <c r="T422" t="n">
        <v>37</v>
      </c>
      <c r="U422" t="inlineStr">
        <is>
          <t>2007-11-19</t>
        </is>
      </c>
      <c r="V422" t="inlineStr">
        <is>
          <t>2007-11-19</t>
        </is>
      </c>
      <c r="W422" t="inlineStr">
        <is>
          <t>1988-01-05</t>
        </is>
      </c>
      <c r="X422" t="inlineStr">
        <is>
          <t>1991-11-13</t>
        </is>
      </c>
      <c r="Y422" t="n">
        <v>357</v>
      </c>
      <c r="Z422" t="n">
        <v>270</v>
      </c>
      <c r="AA422" t="n">
        <v>280</v>
      </c>
      <c r="AB422" t="n">
        <v>2</v>
      </c>
      <c r="AC422" t="n">
        <v>2</v>
      </c>
      <c r="AD422" t="n">
        <v>11</v>
      </c>
      <c r="AE422" t="n">
        <v>11</v>
      </c>
      <c r="AF422" t="n">
        <v>3</v>
      </c>
      <c r="AG422" t="n">
        <v>3</v>
      </c>
      <c r="AH422" t="n">
        <v>4</v>
      </c>
      <c r="AI422" t="n">
        <v>4</v>
      </c>
      <c r="AJ422" t="n">
        <v>7</v>
      </c>
      <c r="AK422" t="n">
        <v>7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HYPERLINK("http://catalog.hathitrust.org/Record/000309917","HathiTrust Record")</f>
        <v/>
      </c>
      <c r="AS422">
        <f>HYPERLINK("https://creighton-primo.hosted.exlibrisgroup.com/primo-explore/search?tab=default_tab&amp;search_scope=EVERYTHING&amp;vid=01CRU&amp;lang=en_US&amp;offset=0&amp;query=any,contains,991001753429702656","Catalog Record")</f>
        <v/>
      </c>
      <c r="AT422">
        <f>HYPERLINK("http://www.worldcat.org/oclc/4493661","WorldCat Record")</f>
        <v/>
      </c>
    </row>
    <row r="423">
      <c r="A423" t="inlineStr">
        <is>
          <t>No</t>
        </is>
      </c>
      <c r="B423" t="inlineStr">
        <is>
          <t>R726.5 .H43 1974</t>
        </is>
      </c>
      <c r="C423" t="inlineStr">
        <is>
          <t>0                      R  0726500H  43          1974</t>
        </is>
      </c>
      <c r="D423" t="inlineStr">
        <is>
          <t>The Health belief model and personal health behavior / Marshall H. Becker, guest editor.</t>
        </is>
      </c>
      <c r="F423" t="inlineStr">
        <is>
          <t>No</t>
        </is>
      </c>
      <c r="G423" t="inlineStr">
        <is>
          <t>1</t>
        </is>
      </c>
      <c r="H423" t="inlineStr">
        <is>
          <t>Yes</t>
        </is>
      </c>
      <c r="I423" t="inlineStr">
        <is>
          <t>No</t>
        </is>
      </c>
      <c r="J423" t="inlineStr">
        <is>
          <t>0</t>
        </is>
      </c>
      <c r="L423" t="inlineStr">
        <is>
          <t>San Francisco : Society for Public Health Education, 1974.</t>
        </is>
      </c>
      <c r="M423" t="inlineStr">
        <is>
          <t>1974</t>
        </is>
      </c>
      <c r="O423" t="inlineStr">
        <is>
          <t>eng</t>
        </is>
      </c>
      <c r="P423" t="inlineStr">
        <is>
          <t>cau</t>
        </is>
      </c>
      <c r="Q423" t="inlineStr">
        <is>
          <t>Health education monographs ; v. 2, no. 4</t>
        </is>
      </c>
      <c r="R423" t="inlineStr">
        <is>
          <t xml:space="preserve">R  </t>
        </is>
      </c>
      <c r="S423" t="n">
        <v>41</v>
      </c>
      <c r="T423" t="n">
        <v>63</v>
      </c>
      <c r="U423" t="inlineStr">
        <is>
          <t>2010-06-30</t>
        </is>
      </c>
      <c r="V423" t="inlineStr">
        <is>
          <t>2010-06-30</t>
        </is>
      </c>
      <c r="W423" t="inlineStr">
        <is>
          <t>1987-10-05</t>
        </is>
      </c>
      <c r="X423" t="inlineStr">
        <is>
          <t>1991-11-13</t>
        </is>
      </c>
      <c r="Y423" t="n">
        <v>42</v>
      </c>
      <c r="Z423" t="n">
        <v>34</v>
      </c>
      <c r="AA423" t="n">
        <v>168</v>
      </c>
      <c r="AB423" t="n">
        <v>2</v>
      </c>
      <c r="AC423" t="n">
        <v>3</v>
      </c>
      <c r="AD423" t="n">
        <v>1</v>
      </c>
      <c r="AE423" t="n">
        <v>10</v>
      </c>
      <c r="AF423" t="n">
        <v>0</v>
      </c>
      <c r="AG423" t="n">
        <v>3</v>
      </c>
      <c r="AH423" t="n">
        <v>0</v>
      </c>
      <c r="AI423" t="n">
        <v>2</v>
      </c>
      <c r="AJ423" t="n">
        <v>1</v>
      </c>
      <c r="AK423" t="n">
        <v>6</v>
      </c>
      <c r="AL423" t="n">
        <v>0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HYPERLINK("https://creighton-primo.hosted.exlibrisgroup.com/primo-explore/search?tab=default_tab&amp;search_scope=EVERYTHING&amp;vid=01CRU&amp;lang=en_US&amp;offset=0&amp;query=any,contains,991001760489702656","Catalog Record")</f>
        <v/>
      </c>
      <c r="AT423">
        <f>HYPERLINK("http://www.worldcat.org/oclc/1365644","WorldCat Record")</f>
        <v/>
      </c>
    </row>
    <row r="424">
      <c r="A424" t="inlineStr">
        <is>
          <t>No</t>
        </is>
      </c>
      <c r="B424" t="inlineStr">
        <is>
          <t>R726.5 .M69 1993</t>
        </is>
      </c>
      <c r="C424" t="inlineStr">
        <is>
          <t>0                      R  0726500M  69          1993</t>
        </is>
      </c>
      <c r="D424" t="inlineStr">
        <is>
          <t>Healing and the mind / Bill Moyers ; Betty Sue Flowers, editor ; David Grubin, executive editor ; Elizabeth Meryman-Brunner, art research.</t>
        </is>
      </c>
      <c r="F424" t="inlineStr">
        <is>
          <t>No</t>
        </is>
      </c>
      <c r="G424" t="inlineStr">
        <is>
          <t>1</t>
        </is>
      </c>
      <c r="H424" t="inlineStr">
        <is>
          <t>Yes</t>
        </is>
      </c>
      <c r="I424" t="inlineStr">
        <is>
          <t>No</t>
        </is>
      </c>
      <c r="J424" t="inlineStr">
        <is>
          <t>0</t>
        </is>
      </c>
      <c r="K424" t="inlineStr">
        <is>
          <t>Moyers, Bill D.</t>
        </is>
      </c>
      <c r="L424" t="inlineStr">
        <is>
          <t>New York : Doubleday, 1993.</t>
        </is>
      </c>
      <c r="M424" t="inlineStr">
        <is>
          <t>1993</t>
        </is>
      </c>
      <c r="N424" t="inlineStr">
        <is>
          <t>1st ed.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R  </t>
        </is>
      </c>
      <c r="S424" t="n">
        <v>33</v>
      </c>
      <c r="T424" t="n">
        <v>68</v>
      </c>
      <c r="U424" t="inlineStr">
        <is>
          <t>2001-04-10</t>
        </is>
      </c>
      <c r="V424" t="inlineStr">
        <is>
          <t>2009-11-18</t>
        </is>
      </c>
      <c r="W424" t="inlineStr">
        <is>
          <t>1993-02-26</t>
        </is>
      </c>
      <c r="X424" t="inlineStr">
        <is>
          <t>1993-07-22</t>
        </is>
      </c>
      <c r="Y424" t="n">
        <v>2699</v>
      </c>
      <c r="Z424" t="n">
        <v>2550</v>
      </c>
      <c r="AA424" t="n">
        <v>2702</v>
      </c>
      <c r="AB424" t="n">
        <v>28</v>
      </c>
      <c r="AC424" t="n">
        <v>28</v>
      </c>
      <c r="AD424" t="n">
        <v>36</v>
      </c>
      <c r="AE424" t="n">
        <v>38</v>
      </c>
      <c r="AF424" t="n">
        <v>17</v>
      </c>
      <c r="AG424" t="n">
        <v>18</v>
      </c>
      <c r="AH424" t="n">
        <v>5</v>
      </c>
      <c r="AI424" t="n">
        <v>5</v>
      </c>
      <c r="AJ424" t="n">
        <v>16</v>
      </c>
      <c r="AK424" t="n">
        <v>17</v>
      </c>
      <c r="AL424" t="n">
        <v>5</v>
      </c>
      <c r="AM424" t="n">
        <v>5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HYPERLINK("http://catalog.hathitrust.org/Record/002640652","HathiTrust Record")</f>
        <v/>
      </c>
      <c r="AS424">
        <f>HYPERLINK("https://creighton-primo.hosted.exlibrisgroup.com/primo-explore/search?tab=default_tab&amp;search_scope=EVERYTHING&amp;vid=01CRU&amp;lang=en_US&amp;offset=0&amp;query=any,contains,991001799729702656","Catalog Record")</f>
        <v/>
      </c>
      <c r="AT424">
        <f>HYPERLINK("http://www.worldcat.org/oclc/26590817","WorldCat Record")</f>
        <v/>
      </c>
    </row>
    <row r="425">
      <c r="A425" t="inlineStr">
        <is>
          <t>No</t>
        </is>
      </c>
      <c r="B425" t="inlineStr">
        <is>
          <t>R726.7 .H439 1996</t>
        </is>
      </c>
      <c r="C425" t="inlineStr">
        <is>
          <t>0                      R  0726700H  439         1996</t>
        </is>
      </c>
      <c r="D425" t="inlineStr">
        <is>
          <t>Health psychology through the life span : practice and research opportunities / edited by Robert J. Resnick, Ronald H. Rozensky.</t>
        </is>
      </c>
      <c r="F425" t="inlineStr">
        <is>
          <t>No</t>
        </is>
      </c>
      <c r="G425" t="inlineStr">
        <is>
          <t>1</t>
        </is>
      </c>
      <c r="H425" t="inlineStr">
        <is>
          <t>Yes</t>
        </is>
      </c>
      <c r="I425" t="inlineStr">
        <is>
          <t>No</t>
        </is>
      </c>
      <c r="J425" t="inlineStr">
        <is>
          <t>0</t>
        </is>
      </c>
      <c r="L425" t="inlineStr">
        <is>
          <t>Washington, DC : American Psychological Association, c1996.</t>
        </is>
      </c>
      <c r="M425" t="inlineStr">
        <is>
          <t>1996</t>
        </is>
      </c>
      <c r="N425" t="inlineStr">
        <is>
          <t>1st ed.</t>
        </is>
      </c>
      <c r="O425" t="inlineStr">
        <is>
          <t>eng</t>
        </is>
      </c>
      <c r="P425" t="inlineStr">
        <is>
          <t>dcu</t>
        </is>
      </c>
      <c r="R425" t="inlineStr">
        <is>
          <t xml:space="preserve">R  </t>
        </is>
      </c>
      <c r="S425" t="n">
        <v>0</v>
      </c>
      <c r="T425" t="n">
        <v>3</v>
      </c>
      <c r="V425" t="inlineStr">
        <is>
          <t>2000-08-22</t>
        </is>
      </c>
      <c r="W425" t="inlineStr">
        <is>
          <t>2002-06-18</t>
        </is>
      </c>
      <c r="X425" t="inlineStr">
        <is>
          <t>2002-06-18</t>
        </is>
      </c>
      <c r="Y425" t="n">
        <v>481</v>
      </c>
      <c r="Z425" t="n">
        <v>387</v>
      </c>
      <c r="AA425" t="n">
        <v>461</v>
      </c>
      <c r="AB425" t="n">
        <v>2</v>
      </c>
      <c r="AC425" t="n">
        <v>3</v>
      </c>
      <c r="AD425" t="n">
        <v>20</v>
      </c>
      <c r="AE425" t="n">
        <v>23</v>
      </c>
      <c r="AF425" t="n">
        <v>7</v>
      </c>
      <c r="AG425" t="n">
        <v>8</v>
      </c>
      <c r="AH425" t="n">
        <v>5</v>
      </c>
      <c r="AI425" t="n">
        <v>5</v>
      </c>
      <c r="AJ425" t="n">
        <v>13</v>
      </c>
      <c r="AK425" t="n">
        <v>14</v>
      </c>
      <c r="AL425" t="n">
        <v>1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HYPERLINK("https://creighton-primo.hosted.exlibrisgroup.com/primo-explore/search?tab=default_tab&amp;search_scope=EVERYTHING&amp;vid=01CRU&amp;lang=en_US&amp;offset=0&amp;query=any,contains,991001812889702656","Catalog Record")</f>
        <v/>
      </c>
      <c r="AT425">
        <f>HYPERLINK("http://www.worldcat.org/oclc/35325353","WorldCat Record")</f>
        <v/>
      </c>
    </row>
    <row r="426">
      <c r="A426" t="inlineStr">
        <is>
          <t>No</t>
        </is>
      </c>
      <c r="B426" t="inlineStr">
        <is>
          <t>R726.8 .D38</t>
        </is>
      </c>
      <c r="C426" t="inlineStr">
        <is>
          <t>0                      R  0726800D  38</t>
        </is>
      </c>
      <c r="D426" t="inlineStr">
        <is>
          <t>Death, dying, and the law / edited by James T. McHugh.</t>
        </is>
      </c>
      <c r="F426" t="inlineStr">
        <is>
          <t>No</t>
        </is>
      </c>
      <c r="G426" t="inlineStr">
        <is>
          <t>1</t>
        </is>
      </c>
      <c r="H426" t="inlineStr">
        <is>
          <t>Yes</t>
        </is>
      </c>
      <c r="I426" t="inlineStr">
        <is>
          <t>No</t>
        </is>
      </c>
      <c r="J426" t="inlineStr">
        <is>
          <t>0</t>
        </is>
      </c>
      <c r="L426" t="inlineStr">
        <is>
          <t>Huntington, Ind. : Our Sunday Visitor, c1976.</t>
        </is>
      </c>
      <c r="M426" t="inlineStr">
        <is>
          <t>1976</t>
        </is>
      </c>
      <c r="O426" t="inlineStr">
        <is>
          <t>eng</t>
        </is>
      </c>
      <c r="P426" t="inlineStr">
        <is>
          <t>inu</t>
        </is>
      </c>
      <c r="R426" t="inlineStr">
        <is>
          <t xml:space="preserve">R  </t>
        </is>
      </c>
      <c r="S426" t="n">
        <v>10</v>
      </c>
      <c r="T426" t="n">
        <v>19</v>
      </c>
      <c r="U426" t="inlineStr">
        <is>
          <t>2000-04-02</t>
        </is>
      </c>
      <c r="V426" t="inlineStr">
        <is>
          <t>2000-04-02</t>
        </is>
      </c>
      <c r="W426" t="inlineStr">
        <is>
          <t>1987-10-07</t>
        </is>
      </c>
      <c r="X426" t="inlineStr">
        <is>
          <t>1995-01-05</t>
        </is>
      </c>
      <c r="Y426" t="n">
        <v>256</v>
      </c>
      <c r="Z426" t="n">
        <v>235</v>
      </c>
      <c r="AA426" t="n">
        <v>237</v>
      </c>
      <c r="AB426" t="n">
        <v>4</v>
      </c>
      <c r="AC426" t="n">
        <v>4</v>
      </c>
      <c r="AD426" t="n">
        <v>17</v>
      </c>
      <c r="AE426" t="n">
        <v>17</v>
      </c>
      <c r="AF426" t="n">
        <v>2</v>
      </c>
      <c r="AG426" t="n">
        <v>2</v>
      </c>
      <c r="AH426" t="n">
        <v>5</v>
      </c>
      <c r="AI426" t="n">
        <v>5</v>
      </c>
      <c r="AJ426" t="n">
        <v>7</v>
      </c>
      <c r="AK426" t="n">
        <v>7</v>
      </c>
      <c r="AL426" t="n">
        <v>1</v>
      </c>
      <c r="AM426" t="n">
        <v>1</v>
      </c>
      <c r="AN426" t="n">
        <v>6</v>
      </c>
      <c r="AO426" t="n">
        <v>6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HYPERLINK("http://catalog.hathitrust.org/Record/000193169","HathiTrust Record")</f>
        <v/>
      </c>
      <c r="AS426">
        <f>HYPERLINK("https://creighton-primo.hosted.exlibrisgroup.com/primo-explore/search?tab=default_tab&amp;search_scope=EVERYTHING&amp;vid=01CRU&amp;lang=en_US&amp;offset=0&amp;query=any,contains,991001760169702656","Catalog Record")</f>
        <v/>
      </c>
      <c r="AT426">
        <f>HYPERLINK("http://www.worldcat.org/oclc/2331224","WorldCat Record")</f>
        <v/>
      </c>
    </row>
    <row r="427">
      <c r="A427" t="inlineStr">
        <is>
          <t>No</t>
        </is>
      </c>
      <c r="B427" t="inlineStr">
        <is>
          <t>R726.8 .D39 1982</t>
        </is>
      </c>
      <c r="C427" t="inlineStr">
        <is>
          <t>0                      R  0726800D  39          1982</t>
        </is>
      </c>
      <c r="D427" t="inlineStr">
        <is>
          <t>Death education for the health professional / edited by Jeanne Quint Benoliel.</t>
        </is>
      </c>
      <c r="F427" t="inlineStr">
        <is>
          <t>No</t>
        </is>
      </c>
      <c r="G427" t="inlineStr">
        <is>
          <t>1</t>
        </is>
      </c>
      <c r="H427" t="inlineStr">
        <is>
          <t>Yes</t>
        </is>
      </c>
      <c r="I427" t="inlineStr">
        <is>
          <t>No</t>
        </is>
      </c>
      <c r="J427" t="inlineStr">
        <is>
          <t>0</t>
        </is>
      </c>
      <c r="L427" t="inlineStr">
        <is>
          <t>Washington : Hemisphere Pub. Corp., c1982.</t>
        </is>
      </c>
      <c r="M427" t="inlineStr">
        <is>
          <t>1982</t>
        </is>
      </c>
      <c r="O427" t="inlineStr">
        <is>
          <t>eng</t>
        </is>
      </c>
      <c r="P427" t="inlineStr">
        <is>
          <t>dcu</t>
        </is>
      </c>
      <c r="Q427" t="inlineStr">
        <is>
          <t>Series in death education, aging, and health care</t>
        </is>
      </c>
      <c r="R427" t="inlineStr">
        <is>
          <t xml:space="preserve">R  </t>
        </is>
      </c>
      <c r="S427" t="n">
        <v>9</v>
      </c>
      <c r="T427" t="n">
        <v>16</v>
      </c>
      <c r="U427" t="inlineStr">
        <is>
          <t>2000-02-19</t>
        </is>
      </c>
      <c r="V427" t="inlineStr">
        <is>
          <t>2000-02-19</t>
        </is>
      </c>
      <c r="W427" t="inlineStr">
        <is>
          <t>1987-10-27</t>
        </is>
      </c>
      <c r="X427" t="inlineStr">
        <is>
          <t>1992-03-10</t>
        </is>
      </c>
      <c r="Y427" t="n">
        <v>260</v>
      </c>
      <c r="Z427" t="n">
        <v>211</v>
      </c>
      <c r="AA427" t="n">
        <v>217</v>
      </c>
      <c r="AB427" t="n">
        <v>4</v>
      </c>
      <c r="AC427" t="n">
        <v>4</v>
      </c>
      <c r="AD427" t="n">
        <v>7</v>
      </c>
      <c r="AE427" t="n">
        <v>7</v>
      </c>
      <c r="AF427" t="n">
        <v>2</v>
      </c>
      <c r="AG427" t="n">
        <v>2</v>
      </c>
      <c r="AH427" t="n">
        <v>1</v>
      </c>
      <c r="AI427" t="n">
        <v>1</v>
      </c>
      <c r="AJ427" t="n">
        <v>2</v>
      </c>
      <c r="AK427" t="n">
        <v>2</v>
      </c>
      <c r="AL427" t="n">
        <v>2</v>
      </c>
      <c r="AM427" t="n">
        <v>2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HYPERLINK("https://creighton-primo.hosted.exlibrisgroup.com/primo-explore/search?tab=default_tab&amp;search_scope=EVERYTHING&amp;vid=01CRU&amp;lang=en_US&amp;offset=0&amp;query=any,contains,991001778409702656","Catalog Record")</f>
        <v/>
      </c>
      <c r="AT427">
        <f>HYPERLINK("http://www.worldcat.org/oclc/8033277","WorldCat Record")</f>
        <v/>
      </c>
    </row>
    <row r="428">
      <c r="A428" t="inlineStr">
        <is>
          <t>No</t>
        </is>
      </c>
      <c r="B428" t="inlineStr">
        <is>
          <t>R726.8 .D85</t>
        </is>
      </c>
      <c r="C428" t="inlineStr">
        <is>
          <t>0                      R  0726800D  85</t>
        </is>
      </c>
      <c r="D428" t="inlineStr">
        <is>
          <t>The hospice way of death / Paul M. Dubois.</t>
        </is>
      </c>
      <c r="F428" t="inlineStr">
        <is>
          <t>No</t>
        </is>
      </c>
      <c r="G428" t="inlineStr">
        <is>
          <t>1</t>
        </is>
      </c>
      <c r="H428" t="inlineStr">
        <is>
          <t>Yes</t>
        </is>
      </c>
      <c r="I428" t="inlineStr">
        <is>
          <t>No</t>
        </is>
      </c>
      <c r="J428" t="inlineStr">
        <is>
          <t>0</t>
        </is>
      </c>
      <c r="K428" t="inlineStr">
        <is>
          <t>DuBois, Paul M.</t>
        </is>
      </c>
      <c r="L428" t="inlineStr">
        <is>
          <t>New York : Human Sciences Press, c1980.</t>
        </is>
      </c>
      <c r="M428" t="inlineStr">
        <is>
          <t>1980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R  </t>
        </is>
      </c>
      <c r="S428" t="n">
        <v>5</v>
      </c>
      <c r="T428" t="n">
        <v>11</v>
      </c>
      <c r="U428" t="inlineStr">
        <is>
          <t>2002-11-12</t>
        </is>
      </c>
      <c r="V428" t="inlineStr">
        <is>
          <t>2003-11-11</t>
        </is>
      </c>
      <c r="W428" t="inlineStr">
        <is>
          <t>1988-01-12</t>
        </is>
      </c>
      <c r="X428" t="inlineStr">
        <is>
          <t>1991-11-21</t>
        </is>
      </c>
      <c r="Y428" t="n">
        <v>947</v>
      </c>
      <c r="Z428" t="n">
        <v>870</v>
      </c>
      <c r="AA428" t="n">
        <v>887</v>
      </c>
      <c r="AB428" t="n">
        <v>7</v>
      </c>
      <c r="AC428" t="n">
        <v>7</v>
      </c>
      <c r="AD428" t="n">
        <v>25</v>
      </c>
      <c r="AE428" t="n">
        <v>25</v>
      </c>
      <c r="AF428" t="n">
        <v>11</v>
      </c>
      <c r="AG428" t="n">
        <v>11</v>
      </c>
      <c r="AH428" t="n">
        <v>5</v>
      </c>
      <c r="AI428" t="n">
        <v>5</v>
      </c>
      <c r="AJ428" t="n">
        <v>12</v>
      </c>
      <c r="AK428" t="n">
        <v>12</v>
      </c>
      <c r="AL428" t="n">
        <v>4</v>
      </c>
      <c r="AM428" t="n">
        <v>4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HYPERLINK("http://catalog.hathitrust.org/Record/000037902","HathiTrust Record")</f>
        <v/>
      </c>
      <c r="AS428">
        <f>HYPERLINK("https://creighton-primo.hosted.exlibrisgroup.com/primo-explore/search?tab=default_tab&amp;search_scope=EVERYTHING&amp;vid=01CRU&amp;lang=en_US&amp;offset=0&amp;query=any,contains,991001777049702656","Catalog Record")</f>
        <v/>
      </c>
      <c r="AT428">
        <f>HYPERLINK("http://www.worldcat.org/oclc/4857949","WorldCat Record")</f>
        <v/>
      </c>
    </row>
    <row r="429">
      <c r="A429" t="inlineStr">
        <is>
          <t>No</t>
        </is>
      </c>
      <c r="B429" t="inlineStr">
        <is>
          <t>R726.8 .H67</t>
        </is>
      </c>
      <c r="C429" t="inlineStr">
        <is>
          <t>0                      R  0726800H  67</t>
        </is>
      </c>
      <c r="D429" t="inlineStr">
        <is>
          <t>A hospice handbook : a new way to care for the dying / edited by Michael P. Hamilton and Helen F. Reid.</t>
        </is>
      </c>
      <c r="F429" t="inlineStr">
        <is>
          <t>No</t>
        </is>
      </c>
      <c r="G429" t="inlineStr">
        <is>
          <t>1</t>
        </is>
      </c>
      <c r="H429" t="inlineStr">
        <is>
          <t>Yes</t>
        </is>
      </c>
      <c r="I429" t="inlineStr">
        <is>
          <t>No</t>
        </is>
      </c>
      <c r="J429" t="inlineStr">
        <is>
          <t>0</t>
        </is>
      </c>
      <c r="L429" t="inlineStr">
        <is>
          <t>Grand Rapids : Eerdmans, c1980.</t>
        </is>
      </c>
      <c r="M429" t="inlineStr">
        <is>
          <t>1979</t>
        </is>
      </c>
      <c r="O429" t="inlineStr">
        <is>
          <t>eng</t>
        </is>
      </c>
      <c r="P429" t="inlineStr">
        <is>
          <t>miu</t>
        </is>
      </c>
      <c r="R429" t="inlineStr">
        <is>
          <t xml:space="preserve">R  </t>
        </is>
      </c>
      <c r="S429" t="n">
        <v>2</v>
      </c>
      <c r="T429" t="n">
        <v>8</v>
      </c>
      <c r="U429" t="inlineStr">
        <is>
          <t>1994-09-08</t>
        </is>
      </c>
      <c r="V429" t="inlineStr">
        <is>
          <t>2003-11-11</t>
        </is>
      </c>
      <c r="W429" t="inlineStr">
        <is>
          <t>1988-01-12</t>
        </is>
      </c>
      <c r="X429" t="inlineStr">
        <is>
          <t>1991-11-21</t>
        </is>
      </c>
      <c r="Y429" t="n">
        <v>888</v>
      </c>
      <c r="Z429" t="n">
        <v>817</v>
      </c>
      <c r="AA429" t="n">
        <v>832</v>
      </c>
      <c r="AB429" t="n">
        <v>8</v>
      </c>
      <c r="AC429" t="n">
        <v>8</v>
      </c>
      <c r="AD429" t="n">
        <v>28</v>
      </c>
      <c r="AE429" t="n">
        <v>28</v>
      </c>
      <c r="AF429" t="n">
        <v>13</v>
      </c>
      <c r="AG429" t="n">
        <v>13</v>
      </c>
      <c r="AH429" t="n">
        <v>3</v>
      </c>
      <c r="AI429" t="n">
        <v>3</v>
      </c>
      <c r="AJ429" t="n">
        <v>14</v>
      </c>
      <c r="AK429" t="n">
        <v>14</v>
      </c>
      <c r="AL429" t="n">
        <v>5</v>
      </c>
      <c r="AM429" t="n">
        <v>5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HYPERLINK("http://catalog.hathitrust.org/Record/000018748","HathiTrust Record")</f>
        <v/>
      </c>
      <c r="AS429">
        <f>HYPERLINK("https://creighton-primo.hosted.exlibrisgroup.com/primo-explore/search?tab=default_tab&amp;search_scope=EVERYTHING&amp;vid=01CRU&amp;lang=en_US&amp;offset=0&amp;query=any,contains,991001777019702656","Catalog Record")</f>
        <v/>
      </c>
      <c r="AT429">
        <f>HYPERLINK("http://www.worldcat.org/oclc/5333869","WorldCat Record")</f>
        <v/>
      </c>
    </row>
    <row r="430">
      <c r="A430" t="inlineStr">
        <is>
          <t>No</t>
        </is>
      </c>
      <c r="B430" t="inlineStr">
        <is>
          <t>R726.8 .H676 1982</t>
        </is>
      </c>
      <c r="C430" t="inlineStr">
        <is>
          <t>0                      R  0726800H  676         1982</t>
        </is>
      </c>
      <c r="D430" t="inlineStr">
        <is>
          <t>Hospice : a handbook for families and others facing terminal illness / [James Ewens and Patricia Herrington, editors]</t>
        </is>
      </c>
      <c r="F430" t="inlineStr">
        <is>
          <t>No</t>
        </is>
      </c>
      <c r="G430" t="inlineStr">
        <is>
          <t>1</t>
        </is>
      </c>
      <c r="H430" t="inlineStr">
        <is>
          <t>Yes</t>
        </is>
      </c>
      <c r="I430" t="inlineStr">
        <is>
          <t>No</t>
        </is>
      </c>
      <c r="J430" t="inlineStr">
        <is>
          <t>0</t>
        </is>
      </c>
      <c r="L430" t="inlineStr">
        <is>
          <t>Santa Fe, N.M. : Bear &amp; Company, c1982, 1983 printing.</t>
        </is>
      </c>
      <c r="M430" t="inlineStr">
        <is>
          <t>1982</t>
        </is>
      </c>
      <c r="O430" t="inlineStr">
        <is>
          <t>eng</t>
        </is>
      </c>
      <c r="P430" t="inlineStr">
        <is>
          <t>nmu</t>
        </is>
      </c>
      <c r="R430" t="inlineStr">
        <is>
          <t xml:space="preserve">R  </t>
        </is>
      </c>
      <c r="S430" t="n">
        <v>7</v>
      </c>
      <c r="T430" t="n">
        <v>16</v>
      </c>
      <c r="U430" t="inlineStr">
        <is>
          <t>2000-04-18</t>
        </is>
      </c>
      <c r="V430" t="inlineStr">
        <is>
          <t>2003-11-11</t>
        </is>
      </c>
      <c r="W430" t="inlineStr">
        <is>
          <t>1989-01-03</t>
        </is>
      </c>
      <c r="X430" t="inlineStr">
        <is>
          <t>1991-11-19</t>
        </is>
      </c>
      <c r="Y430" t="n">
        <v>101</v>
      </c>
      <c r="Z430" t="n">
        <v>101</v>
      </c>
      <c r="AA430" t="n">
        <v>106</v>
      </c>
      <c r="AB430" t="n">
        <v>2</v>
      </c>
      <c r="AC430" t="n">
        <v>2</v>
      </c>
      <c r="AD430" t="n">
        <v>2</v>
      </c>
      <c r="AE430" t="n">
        <v>2</v>
      </c>
      <c r="AF430" t="n">
        <v>0</v>
      </c>
      <c r="AG430" t="n">
        <v>0</v>
      </c>
      <c r="AH430" t="n">
        <v>1</v>
      </c>
      <c r="AI430" t="n">
        <v>1</v>
      </c>
      <c r="AJ430" t="n">
        <v>1</v>
      </c>
      <c r="AK430" t="n">
        <v>1</v>
      </c>
      <c r="AL430" t="n">
        <v>0</v>
      </c>
      <c r="AM430" t="n">
        <v>0</v>
      </c>
      <c r="AN430" t="n">
        <v>0</v>
      </c>
      <c r="AO430" t="n">
        <v>0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HYPERLINK("https://creighton-primo.hosted.exlibrisgroup.com/primo-explore/search?tab=default_tab&amp;search_scope=EVERYTHING&amp;vid=01CRU&amp;lang=en_US&amp;offset=0&amp;query=any,contains,991001776949702656","Catalog Record")</f>
        <v/>
      </c>
      <c r="AT430">
        <f>HYPERLINK("http://www.worldcat.org/oclc/9664332","WorldCat Record")</f>
        <v/>
      </c>
    </row>
    <row r="431">
      <c r="A431" t="inlineStr">
        <is>
          <t>No</t>
        </is>
      </c>
      <c r="B431" t="inlineStr">
        <is>
          <t>R726.8 .L84 2002</t>
        </is>
      </c>
      <c r="C431" t="inlineStr">
        <is>
          <t>0                      R  0726800L  84          2002</t>
        </is>
      </c>
      <c r="D431" t="inlineStr">
        <is>
          <t>Communicating with dying people and their relatives / Jean Lugton ; foreword by Dorothy White.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Lugton, Jean.</t>
        </is>
      </c>
      <c r="L431" t="inlineStr">
        <is>
          <t>Abingdon, Oxon, U.K. : Radcliffe Medical Press, c2002.</t>
        </is>
      </c>
      <c r="M431" t="inlineStr">
        <is>
          <t>2002</t>
        </is>
      </c>
      <c r="O431" t="inlineStr">
        <is>
          <t>eng</t>
        </is>
      </c>
      <c r="P431" t="inlineStr">
        <is>
          <t>enk</t>
        </is>
      </c>
      <c r="R431" t="inlineStr">
        <is>
          <t xml:space="preserve">R  </t>
        </is>
      </c>
      <c r="S431" t="n">
        <v>4</v>
      </c>
      <c r="T431" t="n">
        <v>4</v>
      </c>
      <c r="U431" t="inlineStr">
        <is>
          <t>2007-02-26</t>
        </is>
      </c>
      <c r="V431" t="inlineStr">
        <is>
          <t>2007-02-26</t>
        </is>
      </c>
      <c r="W431" t="inlineStr">
        <is>
          <t>2004-09-13</t>
        </is>
      </c>
      <c r="X431" t="inlineStr">
        <is>
          <t>2004-09-13</t>
        </is>
      </c>
      <c r="Y431" t="n">
        <v>120</v>
      </c>
      <c r="Z431" t="n">
        <v>18</v>
      </c>
      <c r="AA431" t="n">
        <v>52</v>
      </c>
      <c r="AB431" t="n">
        <v>1</v>
      </c>
      <c r="AC431" t="n">
        <v>1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HYPERLINK("http://catalog.hathitrust.org/Record/004361398","HathiTrust Record")</f>
        <v/>
      </c>
      <c r="AS431">
        <f>HYPERLINK("https://creighton-primo.hosted.exlibrisgroup.com/primo-explore/search?tab=default_tab&amp;search_scope=EVERYTHING&amp;vid=01CRU&amp;lang=en_US&amp;offset=0&amp;query=any,contains,991000388299702656","Catalog Record")</f>
        <v/>
      </c>
      <c r="AT431">
        <f>HYPERLINK("http://www.worldcat.org/oclc/48979878","WorldCat Record")</f>
        <v/>
      </c>
    </row>
    <row r="432">
      <c r="A432" t="inlineStr">
        <is>
          <t>No</t>
        </is>
      </c>
      <c r="B432" t="inlineStr">
        <is>
          <t>R726.8 .P37</t>
        </is>
      </c>
      <c r="C432" t="inlineStr">
        <is>
          <t>0                      R  0726800P  37</t>
        </is>
      </c>
      <c r="D432" t="inlineStr">
        <is>
          <t>The experience of dying / E. Mansell Pattison.</t>
        </is>
      </c>
      <c r="F432" t="inlineStr">
        <is>
          <t>No</t>
        </is>
      </c>
      <c r="G432" t="inlineStr">
        <is>
          <t>1</t>
        </is>
      </c>
      <c r="H432" t="inlineStr">
        <is>
          <t>Yes</t>
        </is>
      </c>
      <c r="I432" t="inlineStr">
        <is>
          <t>No</t>
        </is>
      </c>
      <c r="J432" t="inlineStr">
        <is>
          <t>0</t>
        </is>
      </c>
      <c r="K432" t="inlineStr">
        <is>
          <t>Pattison, E. Mansell, 1933-</t>
        </is>
      </c>
      <c r="L432" t="inlineStr">
        <is>
          <t>Englewood Cliffs, N.J. : Prentice-Hall, c1977.</t>
        </is>
      </c>
      <c r="M432" t="inlineStr">
        <is>
          <t>1977</t>
        </is>
      </c>
      <c r="O432" t="inlineStr">
        <is>
          <t>eng</t>
        </is>
      </c>
      <c r="P432" t="inlineStr">
        <is>
          <t>nju</t>
        </is>
      </c>
      <c r="Q432" t="inlineStr">
        <is>
          <t>A Spectrum book</t>
        </is>
      </c>
      <c r="R432" t="inlineStr">
        <is>
          <t xml:space="preserve">R  </t>
        </is>
      </c>
      <c r="S432" t="n">
        <v>7</v>
      </c>
      <c r="T432" t="n">
        <v>13</v>
      </c>
      <c r="U432" t="inlineStr">
        <is>
          <t>2000-07-23</t>
        </is>
      </c>
      <c r="V432" t="inlineStr">
        <is>
          <t>2000-07-23</t>
        </is>
      </c>
      <c r="W432" t="inlineStr">
        <is>
          <t>1989-02-18</t>
        </is>
      </c>
      <c r="X432" t="inlineStr">
        <is>
          <t>1990-11-30</t>
        </is>
      </c>
      <c r="Y432" t="n">
        <v>954</v>
      </c>
      <c r="Z432" t="n">
        <v>820</v>
      </c>
      <c r="AA432" t="n">
        <v>835</v>
      </c>
      <c r="AB432" t="n">
        <v>9</v>
      </c>
      <c r="AC432" t="n">
        <v>9</v>
      </c>
      <c r="AD432" t="n">
        <v>31</v>
      </c>
      <c r="AE432" t="n">
        <v>33</v>
      </c>
      <c r="AF432" t="n">
        <v>11</v>
      </c>
      <c r="AG432" t="n">
        <v>12</v>
      </c>
      <c r="AH432" t="n">
        <v>5</v>
      </c>
      <c r="AI432" t="n">
        <v>6</v>
      </c>
      <c r="AJ432" t="n">
        <v>15</v>
      </c>
      <c r="AK432" t="n">
        <v>15</v>
      </c>
      <c r="AL432" t="n">
        <v>7</v>
      </c>
      <c r="AM432" t="n">
        <v>7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HYPERLINK("http://catalog.hathitrust.org/Record/000735322","HathiTrust Record")</f>
        <v/>
      </c>
      <c r="AS432">
        <f>HYPERLINK("https://creighton-primo.hosted.exlibrisgroup.com/primo-explore/search?tab=default_tab&amp;search_scope=EVERYTHING&amp;vid=01CRU&amp;lang=en_US&amp;offset=0&amp;query=any,contains,991001799499702656","Catalog Record")</f>
        <v/>
      </c>
      <c r="AT432">
        <f>HYPERLINK("http://www.worldcat.org/oclc/2493509","WorldCat Record")</f>
        <v/>
      </c>
    </row>
    <row r="433">
      <c r="A433" t="inlineStr">
        <is>
          <t>No</t>
        </is>
      </c>
      <c r="B433" t="inlineStr">
        <is>
          <t>R727 .L3</t>
        </is>
      </c>
      <c r="C433" t="inlineStr">
        <is>
          <t>0                      R  0727000L  3</t>
        </is>
      </c>
      <c r="D433" t="inlineStr">
        <is>
          <t>Handbook of medical ethics for nurses, physicians and priests / by S. A. La Rochelle and C. T. Fink ; pref. by the Most Rev. James C. McGuigan ; translated from the 4th French ed. by M. E. Poupore [et al]</t>
        </is>
      </c>
      <c r="F433" t="inlineStr">
        <is>
          <t>No</t>
        </is>
      </c>
      <c r="G433" t="inlineStr">
        <is>
          <t>1</t>
        </is>
      </c>
      <c r="H433" t="inlineStr">
        <is>
          <t>Yes</t>
        </is>
      </c>
      <c r="I433" t="inlineStr">
        <is>
          <t>No</t>
        </is>
      </c>
      <c r="J433" t="inlineStr">
        <is>
          <t>0</t>
        </is>
      </c>
      <c r="K433" t="inlineStr">
        <is>
          <t>Larochelle, Stanislas.</t>
        </is>
      </c>
      <c r="L433" t="inlineStr">
        <is>
          <t>Westminster, Md. : Newman Press, 1948.</t>
        </is>
      </c>
      <c r="M433" t="inlineStr">
        <is>
          <t>1948</t>
        </is>
      </c>
      <c r="N433" t="inlineStr">
        <is>
          <t>[8th ed.] --</t>
        </is>
      </c>
      <c r="O433" t="inlineStr">
        <is>
          <t>eng</t>
        </is>
      </c>
      <c r="P433" t="inlineStr">
        <is>
          <t>mdu</t>
        </is>
      </c>
      <c r="R433" t="inlineStr">
        <is>
          <t xml:space="preserve">R  </t>
        </is>
      </c>
      <c r="S433" t="n">
        <v>2</v>
      </c>
      <c r="T433" t="n">
        <v>5</v>
      </c>
      <c r="V433" t="inlineStr">
        <is>
          <t>1994-03-01</t>
        </is>
      </c>
      <c r="W433" t="inlineStr">
        <is>
          <t>1987-10-02</t>
        </is>
      </c>
      <c r="X433" t="inlineStr">
        <is>
          <t>1992-03-12</t>
        </is>
      </c>
      <c r="Y433" t="n">
        <v>14</v>
      </c>
      <c r="Z433" t="n">
        <v>12</v>
      </c>
      <c r="AA433" t="n">
        <v>65</v>
      </c>
      <c r="AB433" t="n">
        <v>2</v>
      </c>
      <c r="AC433" t="n">
        <v>3</v>
      </c>
      <c r="AD433" t="n">
        <v>3</v>
      </c>
      <c r="AE433" t="n">
        <v>11</v>
      </c>
      <c r="AF433" t="n">
        <v>0</v>
      </c>
      <c r="AG433" t="n">
        <v>1</v>
      </c>
      <c r="AH433" t="n">
        <v>1</v>
      </c>
      <c r="AI433" t="n">
        <v>3</v>
      </c>
      <c r="AJ433" t="n">
        <v>2</v>
      </c>
      <c r="AK433" t="n">
        <v>7</v>
      </c>
      <c r="AL433" t="n">
        <v>0</v>
      </c>
      <c r="AM433" t="n">
        <v>0</v>
      </c>
      <c r="AN433" t="n">
        <v>0</v>
      </c>
      <c r="AO433" t="n">
        <v>1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HYPERLINK("https://creighton-primo.hosted.exlibrisgroup.com/primo-explore/search?tab=default_tab&amp;search_scope=EVERYTHING&amp;vid=01CRU&amp;lang=en_US&amp;offset=0&amp;query=any,contains,991001792239702656","Catalog Record")</f>
        <v/>
      </c>
      <c r="AT433">
        <f>HYPERLINK("http://www.worldcat.org/oclc/4355579","WorldCat Record")</f>
        <v/>
      </c>
    </row>
    <row r="434">
      <c r="A434" t="inlineStr">
        <is>
          <t>No</t>
        </is>
      </c>
      <c r="B434" t="inlineStr">
        <is>
          <t>R727.3 .C53 1983</t>
        </is>
      </c>
      <c r="C434" t="inlineStr">
        <is>
          <t>0                      R  0727300C  53          1983</t>
        </is>
      </c>
      <c r="D434" t="inlineStr">
        <is>
          <t>The Clinical encounter : the moral fabric of the patient-physician relationship / edited by Earl E. Shelp.</t>
        </is>
      </c>
      <c r="E434" t="inlineStr">
        <is>
          <t>V.14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Dordrecht ; Boston : D. Reidel ; Hingham, MA : Sold and distributed in the U.S.A. and Canada by Kluwer Academic Publishers, c1983.</t>
        </is>
      </c>
      <c r="M434" t="inlineStr">
        <is>
          <t>1983</t>
        </is>
      </c>
      <c r="O434" t="inlineStr">
        <is>
          <t>eng</t>
        </is>
      </c>
      <c r="P434" t="inlineStr">
        <is>
          <t xml:space="preserve">ne </t>
        </is>
      </c>
      <c r="Q434" t="inlineStr">
        <is>
          <t>Philosophy and medicine ; v. 14</t>
        </is>
      </c>
      <c r="R434" t="inlineStr">
        <is>
          <t xml:space="preserve">R  </t>
        </is>
      </c>
      <c r="S434" t="n">
        <v>3</v>
      </c>
      <c r="T434" t="n">
        <v>9</v>
      </c>
      <c r="U434" t="inlineStr">
        <is>
          <t>2003-11-07</t>
        </is>
      </c>
      <c r="V434" t="inlineStr">
        <is>
          <t>2003-11-07</t>
        </is>
      </c>
      <c r="W434" t="inlineStr">
        <is>
          <t>1987-12-18</t>
        </is>
      </c>
      <c r="X434" t="inlineStr">
        <is>
          <t>1992-05-01</t>
        </is>
      </c>
      <c r="Y434" t="n">
        <v>292</v>
      </c>
      <c r="Z434" t="n">
        <v>229</v>
      </c>
      <c r="AA434" t="n">
        <v>239</v>
      </c>
      <c r="AB434" t="n">
        <v>2</v>
      </c>
      <c r="AC434" t="n">
        <v>2</v>
      </c>
      <c r="AD434" t="n">
        <v>17</v>
      </c>
      <c r="AE434" t="n">
        <v>18</v>
      </c>
      <c r="AF434" t="n">
        <v>5</v>
      </c>
      <c r="AG434" t="n">
        <v>6</v>
      </c>
      <c r="AH434" t="n">
        <v>5</v>
      </c>
      <c r="AI434" t="n">
        <v>5</v>
      </c>
      <c r="AJ434" t="n">
        <v>12</v>
      </c>
      <c r="AK434" t="n">
        <v>13</v>
      </c>
      <c r="AL434" t="n">
        <v>0</v>
      </c>
      <c r="AM434" t="n">
        <v>0</v>
      </c>
      <c r="AN434" t="n">
        <v>1</v>
      </c>
      <c r="AO434" t="n">
        <v>1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HYPERLINK("https://creighton-primo.hosted.exlibrisgroup.com/primo-explore/search?tab=default_tab&amp;search_scope=EVERYTHING&amp;vid=01CRU&amp;lang=en_US&amp;offset=0&amp;query=any,contains,991001806029702656","Catalog Record")</f>
        <v/>
      </c>
      <c r="AT434">
        <f>HYPERLINK("http://www.worldcat.org/oclc/9896299","WorldCat Record")</f>
        <v/>
      </c>
    </row>
    <row r="435">
      <c r="A435" t="inlineStr">
        <is>
          <t>No</t>
        </is>
      </c>
      <c r="B435" t="inlineStr">
        <is>
          <t>R729.5.G6 F73 1975</t>
        </is>
      </c>
      <c r="C435" t="inlineStr">
        <is>
          <t>0                      R  0729500G  6                  F  73          1975</t>
        </is>
      </c>
      <c r="D435" t="inlineStr">
        <is>
          <t>Doctoring together : a study of professional social control / Eliot Freidson.</t>
        </is>
      </c>
      <c r="F435" t="inlineStr">
        <is>
          <t>No</t>
        </is>
      </c>
      <c r="G435" t="inlineStr">
        <is>
          <t>1</t>
        </is>
      </c>
      <c r="H435" t="inlineStr">
        <is>
          <t>Yes</t>
        </is>
      </c>
      <c r="I435" t="inlineStr">
        <is>
          <t>No</t>
        </is>
      </c>
      <c r="J435" t="inlineStr">
        <is>
          <t>0</t>
        </is>
      </c>
      <c r="K435" t="inlineStr">
        <is>
          <t>Freidson, Eliot, 1923-2005.</t>
        </is>
      </c>
      <c r="L435" t="inlineStr">
        <is>
          <t>New York : Elsevier, c1975.</t>
        </is>
      </c>
      <c r="M435" t="inlineStr">
        <is>
          <t>1975</t>
        </is>
      </c>
      <c r="O435" t="inlineStr">
        <is>
          <t>eng</t>
        </is>
      </c>
      <c r="P435" t="inlineStr">
        <is>
          <t>nyu</t>
        </is>
      </c>
      <c r="R435" t="inlineStr">
        <is>
          <t xml:space="preserve">R  </t>
        </is>
      </c>
      <c r="S435" t="n">
        <v>5</v>
      </c>
      <c r="T435" t="n">
        <v>10</v>
      </c>
      <c r="V435" t="inlineStr">
        <is>
          <t>2000-03-23</t>
        </is>
      </c>
      <c r="W435" t="inlineStr">
        <is>
          <t>1987-12-22</t>
        </is>
      </c>
      <c r="X435" t="inlineStr">
        <is>
          <t>1990-02-20</t>
        </is>
      </c>
      <c r="Y435" t="n">
        <v>384</v>
      </c>
      <c r="Z435" t="n">
        <v>293</v>
      </c>
      <c r="AA435" t="n">
        <v>368</v>
      </c>
      <c r="AB435" t="n">
        <v>4</v>
      </c>
      <c r="AC435" t="n">
        <v>6</v>
      </c>
      <c r="AD435" t="n">
        <v>15</v>
      </c>
      <c r="AE435" t="n">
        <v>19</v>
      </c>
      <c r="AF435" t="n">
        <v>5</v>
      </c>
      <c r="AG435" t="n">
        <v>6</v>
      </c>
      <c r="AH435" t="n">
        <v>3</v>
      </c>
      <c r="AI435" t="n">
        <v>3</v>
      </c>
      <c r="AJ435" t="n">
        <v>10</v>
      </c>
      <c r="AK435" t="n">
        <v>12</v>
      </c>
      <c r="AL435" t="n">
        <v>2</v>
      </c>
      <c r="AM435" t="n">
        <v>4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HYPERLINK("http://catalog.hathitrust.org/Record/009917756","HathiTrust Record")</f>
        <v/>
      </c>
      <c r="AS435">
        <f>HYPERLINK("https://creighton-primo.hosted.exlibrisgroup.com/primo-explore/search?tab=default_tab&amp;search_scope=EVERYTHING&amp;vid=01CRU&amp;lang=en_US&amp;offset=0&amp;query=any,contains,991001753559702656","Catalog Record")</f>
        <v/>
      </c>
      <c r="AT435">
        <f>HYPERLINK("http://www.worldcat.org/oclc/1858263","WorldCat Record")</f>
        <v/>
      </c>
    </row>
    <row r="436">
      <c r="A436" t="inlineStr">
        <is>
          <t>No</t>
        </is>
      </c>
      <c r="B436" t="inlineStr">
        <is>
          <t>R733 .F85 1989</t>
        </is>
      </c>
      <c r="C436" t="inlineStr">
        <is>
          <t>0                      R  0733000F  85          1989</t>
        </is>
      </c>
      <c r="D436" t="inlineStr">
        <is>
          <t>Alternative medicine and American religious life / Robert C. Fuller.</t>
        </is>
      </c>
      <c r="F436" t="inlineStr">
        <is>
          <t>No</t>
        </is>
      </c>
      <c r="G436" t="inlineStr">
        <is>
          <t>1</t>
        </is>
      </c>
      <c r="H436" t="inlineStr">
        <is>
          <t>Yes</t>
        </is>
      </c>
      <c r="I436" t="inlineStr">
        <is>
          <t>No</t>
        </is>
      </c>
      <c r="J436" t="inlineStr">
        <is>
          <t>0</t>
        </is>
      </c>
      <c r="K436" t="inlineStr">
        <is>
          <t>Fuller, Robert C., 1952-</t>
        </is>
      </c>
      <c r="L436" t="inlineStr">
        <is>
          <t>New York : Oxford University Press, 1989.</t>
        </is>
      </c>
      <c r="M436" t="inlineStr">
        <is>
          <t>1989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R  </t>
        </is>
      </c>
      <c r="S436" t="n">
        <v>8</v>
      </c>
      <c r="T436" t="n">
        <v>10</v>
      </c>
      <c r="U436" t="inlineStr">
        <is>
          <t>1999-04-28</t>
        </is>
      </c>
      <c r="V436" t="inlineStr">
        <is>
          <t>1999-04-28</t>
        </is>
      </c>
      <c r="W436" t="inlineStr">
        <is>
          <t>1990-06-25</t>
        </is>
      </c>
      <c r="X436" t="inlineStr">
        <is>
          <t>1990-08-15</t>
        </is>
      </c>
      <c r="Y436" t="n">
        <v>725</v>
      </c>
      <c r="Z436" t="n">
        <v>643</v>
      </c>
      <c r="AA436" t="n">
        <v>645</v>
      </c>
      <c r="AB436" t="n">
        <v>4</v>
      </c>
      <c r="AC436" t="n">
        <v>4</v>
      </c>
      <c r="AD436" t="n">
        <v>26</v>
      </c>
      <c r="AE436" t="n">
        <v>26</v>
      </c>
      <c r="AF436" t="n">
        <v>13</v>
      </c>
      <c r="AG436" t="n">
        <v>13</v>
      </c>
      <c r="AH436" t="n">
        <v>5</v>
      </c>
      <c r="AI436" t="n">
        <v>5</v>
      </c>
      <c r="AJ436" t="n">
        <v>14</v>
      </c>
      <c r="AK436" t="n">
        <v>14</v>
      </c>
      <c r="AL436" t="n">
        <v>2</v>
      </c>
      <c r="AM436" t="n">
        <v>2</v>
      </c>
      <c r="AN436" t="n">
        <v>1</v>
      </c>
      <c r="AO436" t="n">
        <v>1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HYPERLINK("http://catalog.hathitrust.org/Record/002544695","HathiTrust Record")</f>
        <v/>
      </c>
      <c r="AS436">
        <f>HYPERLINK("https://creighton-primo.hosted.exlibrisgroup.com/primo-explore/search?tab=default_tab&amp;search_scope=EVERYTHING&amp;vid=01CRU&amp;lang=en_US&amp;offset=0&amp;query=any,contains,991001800769702656","Catalog Record")</f>
        <v/>
      </c>
      <c r="AT436">
        <f>HYPERLINK("http://www.worldcat.org/oclc/18588017","WorldCat Record")</f>
        <v/>
      </c>
    </row>
    <row r="437">
      <c r="A437" t="inlineStr">
        <is>
          <t>No</t>
        </is>
      </c>
      <c r="B437" t="inlineStr">
        <is>
          <t>R737 .K557</t>
        </is>
      </c>
      <c r="C437" t="inlineStr">
        <is>
          <t>0                      R  0737000K  557</t>
        </is>
      </c>
      <c r="D437" t="inlineStr">
        <is>
          <t>Medical student; doctor in the making [by] James A. Knight. Foreword by Charles C. Sprague.</t>
        </is>
      </c>
      <c r="F437" t="inlineStr">
        <is>
          <t>No</t>
        </is>
      </c>
      <c r="G437" t="inlineStr">
        <is>
          <t>1</t>
        </is>
      </c>
      <c r="H437" t="inlineStr">
        <is>
          <t>Yes</t>
        </is>
      </c>
      <c r="I437" t="inlineStr">
        <is>
          <t>No</t>
        </is>
      </c>
      <c r="J437" t="inlineStr">
        <is>
          <t>0</t>
        </is>
      </c>
      <c r="K437" t="inlineStr">
        <is>
          <t>Knight, James A., 1918-1998.</t>
        </is>
      </c>
      <c r="L437" t="inlineStr">
        <is>
          <t>New York, Appleton-Century-Crofts [1973]</t>
        </is>
      </c>
      <c r="M437" t="inlineStr">
        <is>
          <t>1973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R  </t>
        </is>
      </c>
      <c r="S437" t="n">
        <v>5</v>
      </c>
      <c r="T437" t="n">
        <v>16</v>
      </c>
      <c r="U437" t="inlineStr">
        <is>
          <t>1991-12-02</t>
        </is>
      </c>
      <c r="V437" t="inlineStr">
        <is>
          <t>2006-10-13</t>
        </is>
      </c>
      <c r="W437" t="inlineStr">
        <is>
          <t>1987-10-07</t>
        </is>
      </c>
      <c r="X437" t="inlineStr">
        <is>
          <t>1991-12-09</t>
        </is>
      </c>
      <c r="Y437" t="n">
        <v>218</v>
      </c>
      <c r="Z437" t="n">
        <v>189</v>
      </c>
      <c r="AA437" t="n">
        <v>193</v>
      </c>
      <c r="AB437" t="n">
        <v>3</v>
      </c>
      <c r="AC437" t="n">
        <v>3</v>
      </c>
      <c r="AD437" t="n">
        <v>3</v>
      </c>
      <c r="AE437" t="n">
        <v>3</v>
      </c>
      <c r="AF437" t="n">
        <v>1</v>
      </c>
      <c r="AG437" t="n">
        <v>1</v>
      </c>
      <c r="AH437" t="n">
        <v>0</v>
      </c>
      <c r="AI437" t="n">
        <v>0</v>
      </c>
      <c r="AJ437" t="n">
        <v>1</v>
      </c>
      <c r="AK437" t="n">
        <v>1</v>
      </c>
      <c r="AL437" t="n">
        <v>1</v>
      </c>
      <c r="AM437" t="n">
        <v>1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HYPERLINK("http://catalog.hathitrust.org/Record/001577204","HathiTrust Record")</f>
        <v/>
      </c>
      <c r="AS437">
        <f>HYPERLINK("https://creighton-primo.hosted.exlibrisgroup.com/primo-explore/search?tab=default_tab&amp;search_scope=EVERYTHING&amp;vid=01CRU&amp;lang=en_US&amp;offset=0&amp;query=any,contains,991001788489702656","Catalog Record")</f>
        <v/>
      </c>
      <c r="AT437">
        <f>HYPERLINK("http://www.worldcat.org/oclc/702981","WorldCat Record")</f>
        <v/>
      </c>
    </row>
    <row r="438">
      <c r="A438" t="inlineStr">
        <is>
          <t>No</t>
        </is>
      </c>
      <c r="B438" t="inlineStr">
        <is>
          <t>R745 .C6 1986</t>
        </is>
      </c>
      <c r="C438" t="inlineStr">
        <is>
          <t>0                      R  0745000C  6           1986</t>
        </is>
      </c>
      <c r="D438" t="inlineStr">
        <is>
          <t>Medical education : making the grade in cost containment / editors, Russell D. Cunningham, Charles P. Friedman and Bill Weaver ; coordinating editor, Karen E. Lake.</t>
        </is>
      </c>
      <c r="F438" t="inlineStr">
        <is>
          <t>No</t>
        </is>
      </c>
      <c r="G438" t="inlineStr">
        <is>
          <t>1</t>
        </is>
      </c>
      <c r="H438" t="inlineStr">
        <is>
          <t>Yes</t>
        </is>
      </c>
      <c r="I438" t="inlineStr">
        <is>
          <t>No</t>
        </is>
      </c>
      <c r="J438" t="inlineStr">
        <is>
          <t>0</t>
        </is>
      </c>
      <c r="K438" t="inlineStr">
        <is>
          <t>Conference on Teaching and Learning in Cost-Effective Health Care (1984 : Saint Simons Island, Ga.)</t>
        </is>
      </c>
      <c r="L438" t="inlineStr">
        <is>
          <t>Battle Creek, Mich. : W.K. Kellogg Foundation, 1986.</t>
        </is>
      </c>
      <c r="M438" t="inlineStr">
        <is>
          <t>1986</t>
        </is>
      </c>
      <c r="O438" t="inlineStr">
        <is>
          <t>eng</t>
        </is>
      </c>
      <c r="P438" t="inlineStr">
        <is>
          <t>miu</t>
        </is>
      </c>
      <c r="R438" t="inlineStr">
        <is>
          <t xml:space="preserve">R  </t>
        </is>
      </c>
      <c r="S438" t="n">
        <v>4</v>
      </c>
      <c r="T438" t="n">
        <v>6</v>
      </c>
      <c r="U438" t="inlineStr">
        <is>
          <t>1990-10-15</t>
        </is>
      </c>
      <c r="V438" t="inlineStr">
        <is>
          <t>1995-04-20</t>
        </is>
      </c>
      <c r="W438" t="inlineStr">
        <is>
          <t>1987-09-25</t>
        </is>
      </c>
      <c r="X438" t="inlineStr">
        <is>
          <t>1992-02-07</t>
        </is>
      </c>
      <c r="Y438" t="n">
        <v>518</v>
      </c>
      <c r="Z438" t="n">
        <v>493</v>
      </c>
      <c r="AA438" t="n">
        <v>498</v>
      </c>
      <c r="AB438" t="n">
        <v>7</v>
      </c>
      <c r="AC438" t="n">
        <v>7</v>
      </c>
      <c r="AD438" t="n">
        <v>24</v>
      </c>
      <c r="AE438" t="n">
        <v>24</v>
      </c>
      <c r="AF438" t="n">
        <v>9</v>
      </c>
      <c r="AG438" t="n">
        <v>9</v>
      </c>
      <c r="AH438" t="n">
        <v>4</v>
      </c>
      <c r="AI438" t="n">
        <v>4</v>
      </c>
      <c r="AJ438" t="n">
        <v>11</v>
      </c>
      <c r="AK438" t="n">
        <v>11</v>
      </c>
      <c r="AL438" t="n">
        <v>5</v>
      </c>
      <c r="AM438" t="n">
        <v>5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HYPERLINK("http://catalog.hathitrust.org/Record/000401265","HathiTrust Record")</f>
        <v/>
      </c>
      <c r="AS438">
        <f>HYPERLINK("https://creighton-primo.hosted.exlibrisgroup.com/primo-explore/search?tab=default_tab&amp;search_scope=EVERYTHING&amp;vid=01CRU&amp;lang=en_US&amp;offset=0&amp;query=any,contains,991001788379702656","Catalog Record")</f>
        <v/>
      </c>
      <c r="AT438">
        <f>HYPERLINK("http://www.worldcat.org/oclc/17353744","WorldCat Record")</f>
        <v/>
      </c>
    </row>
    <row r="439">
      <c r="A439" t="inlineStr">
        <is>
          <t>No</t>
        </is>
      </c>
      <c r="B439" t="inlineStr">
        <is>
          <t>R745 .F73</t>
        </is>
      </c>
      <c r="C439" t="inlineStr">
        <is>
          <t>0                      R  0745000F  73</t>
        </is>
      </c>
      <c r="D439" t="inlineStr">
        <is>
          <t>The making of a physician : a ten-year longitudinal study of social class, academic achievement, and changing professional attitudes of a medical school class / Marcel A. Fredericks and Paul Mundy.</t>
        </is>
      </c>
      <c r="F439" t="inlineStr">
        <is>
          <t>No</t>
        </is>
      </c>
      <c r="G439" t="inlineStr">
        <is>
          <t>1</t>
        </is>
      </c>
      <c r="H439" t="inlineStr">
        <is>
          <t>Yes</t>
        </is>
      </c>
      <c r="I439" t="inlineStr">
        <is>
          <t>No</t>
        </is>
      </c>
      <c r="J439" t="inlineStr">
        <is>
          <t>0</t>
        </is>
      </c>
      <c r="K439" t="inlineStr">
        <is>
          <t>Fredericks, Marcel A., 1927-</t>
        </is>
      </c>
      <c r="L439" t="inlineStr">
        <is>
          <t>Chicago : Loyola University Press, c1976.</t>
        </is>
      </c>
      <c r="M439" t="inlineStr">
        <is>
          <t>1976</t>
        </is>
      </c>
      <c r="O439" t="inlineStr">
        <is>
          <t>eng</t>
        </is>
      </c>
      <c r="P439" t="inlineStr">
        <is>
          <t>ilu</t>
        </is>
      </c>
      <c r="R439" t="inlineStr">
        <is>
          <t xml:space="preserve">R  </t>
        </is>
      </c>
      <c r="S439" t="n">
        <v>1</v>
      </c>
      <c r="T439" t="n">
        <v>3</v>
      </c>
      <c r="V439" t="inlineStr">
        <is>
          <t>1992-01-03</t>
        </is>
      </c>
      <c r="W439" t="inlineStr">
        <is>
          <t>1987-09-25</t>
        </is>
      </c>
      <c r="X439" t="inlineStr">
        <is>
          <t>1990-11-19</t>
        </is>
      </c>
      <c r="Y439" t="n">
        <v>225</v>
      </c>
      <c r="Z439" t="n">
        <v>194</v>
      </c>
      <c r="AA439" t="n">
        <v>196</v>
      </c>
      <c r="AB439" t="n">
        <v>3</v>
      </c>
      <c r="AC439" t="n">
        <v>3</v>
      </c>
      <c r="AD439" t="n">
        <v>14</v>
      </c>
      <c r="AE439" t="n">
        <v>14</v>
      </c>
      <c r="AF439" t="n">
        <v>3</v>
      </c>
      <c r="AG439" t="n">
        <v>3</v>
      </c>
      <c r="AH439" t="n">
        <v>4</v>
      </c>
      <c r="AI439" t="n">
        <v>4</v>
      </c>
      <c r="AJ439" t="n">
        <v>10</v>
      </c>
      <c r="AK439" t="n">
        <v>10</v>
      </c>
      <c r="AL439" t="n">
        <v>1</v>
      </c>
      <c r="AM439" t="n">
        <v>1</v>
      </c>
      <c r="AN439" t="n">
        <v>1</v>
      </c>
      <c r="AO439" t="n">
        <v>1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HYPERLINK("http://catalog.hathitrust.org/Record/000695793","HathiTrust Record")</f>
        <v/>
      </c>
      <c r="AS439">
        <f>HYPERLINK("https://creighton-primo.hosted.exlibrisgroup.com/primo-explore/search?tab=default_tab&amp;search_scope=EVERYTHING&amp;vid=01CRU&amp;lang=en_US&amp;offset=0&amp;query=any,contains,991001788419702656","Catalog Record")</f>
        <v/>
      </c>
      <c r="AT439">
        <f>HYPERLINK("http://www.worldcat.org/oclc/1993212","WorldCat Record")</f>
        <v/>
      </c>
    </row>
    <row r="440">
      <c r="A440" t="inlineStr">
        <is>
          <t>No</t>
        </is>
      </c>
      <c r="B440" t="inlineStr">
        <is>
          <t>R745 .R42</t>
        </is>
      </c>
      <c r="C440" t="inlineStr">
        <is>
          <t>0                      R  0745000R  42</t>
        </is>
      </c>
      <c r="D440" t="inlineStr">
        <is>
          <t>Recent trends in medical education : report of a Macy conference / edited by Elizabeth F. Purcell.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L440" t="inlineStr">
        <is>
          <t>-- New York : Josiah Macy, Jr. Foundation ; c1976.</t>
        </is>
      </c>
      <c r="M440" t="inlineStr">
        <is>
          <t>1976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R  </t>
        </is>
      </c>
      <c r="S440" t="n">
        <v>1</v>
      </c>
      <c r="T440" t="n">
        <v>1</v>
      </c>
      <c r="U440" t="inlineStr">
        <is>
          <t>1999-07-16</t>
        </is>
      </c>
      <c r="V440" t="inlineStr">
        <is>
          <t>1999-07-16</t>
        </is>
      </c>
      <c r="W440" t="inlineStr">
        <is>
          <t>1987-09-30</t>
        </is>
      </c>
      <c r="X440" t="inlineStr">
        <is>
          <t>1987-09-30</t>
        </is>
      </c>
      <c r="Y440" t="n">
        <v>148</v>
      </c>
      <c r="Z440" t="n">
        <v>114</v>
      </c>
      <c r="AA440" t="n">
        <v>116</v>
      </c>
      <c r="AB440" t="n">
        <v>1</v>
      </c>
      <c r="AC440" t="n">
        <v>1</v>
      </c>
      <c r="AD440" t="n">
        <v>3</v>
      </c>
      <c r="AE440" t="n">
        <v>3</v>
      </c>
      <c r="AF440" t="n">
        <v>1</v>
      </c>
      <c r="AG440" t="n">
        <v>1</v>
      </c>
      <c r="AH440" t="n">
        <v>0</v>
      </c>
      <c r="AI440" t="n">
        <v>0</v>
      </c>
      <c r="AJ440" t="n">
        <v>2</v>
      </c>
      <c r="AK440" t="n">
        <v>2</v>
      </c>
      <c r="AL440" t="n">
        <v>0</v>
      </c>
      <c r="AM440" t="n">
        <v>0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HYPERLINK("http://catalog.hathitrust.org/Record/000129657","HathiTrust Record")</f>
        <v/>
      </c>
      <c r="AS440">
        <f>HYPERLINK("https://creighton-primo.hosted.exlibrisgroup.com/primo-explore/search?tab=default_tab&amp;search_scope=EVERYTHING&amp;vid=01CRU&amp;lang=en_US&amp;offset=0&amp;query=any,contains,991001168899702656","Catalog Record")</f>
        <v/>
      </c>
      <c r="AT440">
        <f>HYPERLINK("http://www.worldcat.org/oclc/2644246","WorldCat Record")</f>
        <v/>
      </c>
    </row>
    <row r="441">
      <c r="A441" t="inlineStr">
        <is>
          <t>No</t>
        </is>
      </c>
      <c r="B441" t="inlineStr">
        <is>
          <t>R850 .R32</t>
        </is>
      </c>
      <c r="C441" t="inlineStr">
        <is>
          <t>0                      R  0850000R  32</t>
        </is>
      </c>
      <c r="D441" t="inlineStr">
        <is>
          <t>Science and the cure of diseases : letters to Members of Congress / Efraim Racker.</t>
        </is>
      </c>
      <c r="F441" t="inlineStr">
        <is>
          <t>No</t>
        </is>
      </c>
      <c r="G441" t="inlineStr">
        <is>
          <t>1</t>
        </is>
      </c>
      <c r="H441" t="inlineStr">
        <is>
          <t>Yes</t>
        </is>
      </c>
      <c r="I441" t="inlineStr">
        <is>
          <t>No</t>
        </is>
      </c>
      <c r="J441" t="inlineStr">
        <is>
          <t>1</t>
        </is>
      </c>
      <c r="K441" t="inlineStr">
        <is>
          <t>Racker, Efraim, 1913-</t>
        </is>
      </c>
      <c r="L441" t="inlineStr">
        <is>
          <t>Princeton, N.J. : Princeton University Press, c1979.</t>
        </is>
      </c>
      <c r="M441" t="inlineStr">
        <is>
          <t>1979</t>
        </is>
      </c>
      <c r="O441" t="inlineStr">
        <is>
          <t>eng</t>
        </is>
      </c>
      <c r="P441" t="inlineStr">
        <is>
          <t>nju</t>
        </is>
      </c>
      <c r="R441" t="inlineStr">
        <is>
          <t xml:space="preserve">R  </t>
        </is>
      </c>
      <c r="S441" t="n">
        <v>1</v>
      </c>
      <c r="T441" t="n">
        <v>4</v>
      </c>
      <c r="U441" t="inlineStr">
        <is>
          <t>1997-12-01</t>
        </is>
      </c>
      <c r="V441" t="inlineStr">
        <is>
          <t>1997-12-01</t>
        </is>
      </c>
      <c r="W441" t="inlineStr">
        <is>
          <t>1987-10-01</t>
        </is>
      </c>
      <c r="X441" t="inlineStr">
        <is>
          <t>1993-03-09</t>
        </is>
      </c>
      <c r="Y441" t="n">
        <v>175</v>
      </c>
      <c r="Z441" t="n">
        <v>155</v>
      </c>
      <c r="AA441" t="n">
        <v>809</v>
      </c>
      <c r="AB441" t="n">
        <v>3</v>
      </c>
      <c r="AC441" t="n">
        <v>13</v>
      </c>
      <c r="AD441" t="n">
        <v>5</v>
      </c>
      <c r="AE441" t="n">
        <v>37</v>
      </c>
      <c r="AF441" t="n">
        <v>1</v>
      </c>
      <c r="AG441" t="n">
        <v>12</v>
      </c>
      <c r="AH441" t="n">
        <v>1</v>
      </c>
      <c r="AI441" t="n">
        <v>7</v>
      </c>
      <c r="AJ441" t="n">
        <v>2</v>
      </c>
      <c r="AK441" t="n">
        <v>12</v>
      </c>
      <c r="AL441" t="n">
        <v>1</v>
      </c>
      <c r="AM441" t="n">
        <v>11</v>
      </c>
      <c r="AN441" t="n">
        <v>0</v>
      </c>
      <c r="AO441" t="n">
        <v>1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HYPERLINK("https://creighton-primo.hosted.exlibrisgroup.com/primo-explore/search?tab=default_tab&amp;search_scope=EVERYTHING&amp;vid=01CRU&amp;lang=en_US&amp;offset=0&amp;query=any,contains,991001788809702656","Catalog Record")</f>
        <v/>
      </c>
      <c r="AT441">
        <f>HYPERLINK("http://www.worldcat.org/oclc/5263686","WorldCat Record")</f>
        <v/>
      </c>
    </row>
    <row r="442">
      <c r="A442" t="inlineStr">
        <is>
          <t>No</t>
        </is>
      </c>
      <c r="B442" t="inlineStr">
        <is>
          <t>R853.H8 D68 1980</t>
        </is>
      </c>
      <c r="C442" t="inlineStr">
        <is>
          <t>0                      R  0853000H  8                  D  68          1980</t>
        </is>
      </c>
      <c r="D442" t="inlineStr">
        <is>
          <t>The human person as research subject / Charles J. Dougherty.</t>
        </is>
      </c>
      <c r="F442" t="inlineStr">
        <is>
          <t>No</t>
        </is>
      </c>
      <c r="G442" t="inlineStr">
        <is>
          <t>1</t>
        </is>
      </c>
      <c r="H442" t="inlineStr">
        <is>
          <t>Yes</t>
        </is>
      </c>
      <c r="I442" t="inlineStr">
        <is>
          <t>No</t>
        </is>
      </c>
      <c r="J442" t="inlineStr">
        <is>
          <t>0</t>
        </is>
      </c>
      <c r="K442" t="inlineStr">
        <is>
          <t>Dougherty, Charles J., 1949-</t>
        </is>
      </c>
      <c r="L442" t="inlineStr">
        <is>
          <t>Omaha, Neb. : [s.n.], c1980.</t>
        </is>
      </c>
      <c r="M442" t="inlineStr">
        <is>
          <t>1980</t>
        </is>
      </c>
      <c r="O442" t="inlineStr">
        <is>
          <t>eng</t>
        </is>
      </c>
      <c r="P442" t="inlineStr">
        <is>
          <t>nbu</t>
        </is>
      </c>
      <c r="R442" t="inlineStr">
        <is>
          <t xml:space="preserve">R  </t>
        </is>
      </c>
      <c r="S442" t="n">
        <v>8</v>
      </c>
      <c r="T442" t="n">
        <v>12</v>
      </c>
      <c r="U442" t="inlineStr">
        <is>
          <t>1998-01-09</t>
        </is>
      </c>
      <c r="V442" t="inlineStr">
        <is>
          <t>1998-01-09</t>
        </is>
      </c>
      <c r="W442" t="inlineStr">
        <is>
          <t>1991-06-28</t>
        </is>
      </c>
      <c r="X442" t="inlineStr">
        <is>
          <t>1995-12-05</t>
        </is>
      </c>
      <c r="Y442" t="n">
        <v>2</v>
      </c>
      <c r="Z442" t="n">
        <v>2</v>
      </c>
      <c r="AA442" t="n">
        <v>2</v>
      </c>
      <c r="AB442" t="n">
        <v>2</v>
      </c>
      <c r="AC442" t="n">
        <v>2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0</v>
      </c>
      <c r="AM442" t="n">
        <v>0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HYPERLINK("https://creighton-primo.hosted.exlibrisgroup.com/primo-explore/search?tab=default_tab&amp;search_scope=EVERYTHING&amp;vid=01CRU&amp;lang=en_US&amp;offset=0&amp;query=any,contains,991001788769702656","Catalog Record")</f>
        <v/>
      </c>
      <c r="AT442">
        <f>HYPERLINK("http://www.worldcat.org/oclc/10125530","WorldCat Record")</f>
        <v/>
      </c>
    </row>
    <row r="443">
      <c r="A443" t="inlineStr">
        <is>
          <t>No</t>
        </is>
      </c>
      <c r="B443" t="inlineStr">
        <is>
          <t>R853.H8 E9</t>
        </is>
      </c>
      <c r="C443" t="inlineStr">
        <is>
          <t>0                      R  0853000H  8                  E  9</t>
        </is>
      </c>
      <c r="D443" t="inlineStr">
        <is>
          <t>Experiments and research with humans : values in conflict.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Washington : National Academy of Sciences, 1975.</t>
        </is>
      </c>
      <c r="M443" t="inlineStr">
        <is>
          <t>1975</t>
        </is>
      </c>
      <c r="O443" t="inlineStr">
        <is>
          <t>eng</t>
        </is>
      </c>
      <c r="P443" t="inlineStr">
        <is>
          <t>dcu</t>
        </is>
      </c>
      <c r="Q443" t="inlineStr">
        <is>
          <t>Academy forum ; 3d, 1975</t>
        </is>
      </c>
      <c r="R443" t="inlineStr">
        <is>
          <t xml:space="preserve">R  </t>
        </is>
      </c>
      <c r="S443" t="n">
        <v>6</v>
      </c>
      <c r="T443" t="n">
        <v>6</v>
      </c>
      <c r="U443" t="inlineStr">
        <is>
          <t>1994-04-25</t>
        </is>
      </c>
      <c r="V443" t="inlineStr">
        <is>
          <t>1994-04-25</t>
        </is>
      </c>
      <c r="W443" t="inlineStr">
        <is>
          <t>1987-10-08</t>
        </is>
      </c>
      <c r="X443" t="inlineStr">
        <is>
          <t>1987-10-08</t>
        </is>
      </c>
      <c r="Y443" t="n">
        <v>587</v>
      </c>
      <c r="Z443" t="n">
        <v>531</v>
      </c>
      <c r="AA443" t="n">
        <v>538</v>
      </c>
      <c r="AB443" t="n">
        <v>4</v>
      </c>
      <c r="AC443" t="n">
        <v>4</v>
      </c>
      <c r="AD443" t="n">
        <v>29</v>
      </c>
      <c r="AE443" t="n">
        <v>29</v>
      </c>
      <c r="AF443" t="n">
        <v>4</v>
      </c>
      <c r="AG443" t="n">
        <v>4</v>
      </c>
      <c r="AH443" t="n">
        <v>7</v>
      </c>
      <c r="AI443" t="n">
        <v>7</v>
      </c>
      <c r="AJ443" t="n">
        <v>14</v>
      </c>
      <c r="AK443" t="n">
        <v>14</v>
      </c>
      <c r="AL443" t="n">
        <v>2</v>
      </c>
      <c r="AM443" t="n">
        <v>2</v>
      </c>
      <c r="AN443" t="n">
        <v>7</v>
      </c>
      <c r="AO443" t="n">
        <v>7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HYPERLINK("http://catalog.hathitrust.org/Record/000045183","HathiTrust Record")</f>
        <v/>
      </c>
      <c r="AS443">
        <f>HYPERLINK("https://creighton-primo.hosted.exlibrisgroup.com/primo-explore/search?tab=default_tab&amp;search_scope=EVERYTHING&amp;vid=01CRU&amp;lang=en_US&amp;offset=0&amp;query=any,contains,991001173579702656","Catalog Record")</f>
        <v/>
      </c>
      <c r="AT443">
        <f>HYPERLINK("http://www.worldcat.org/oclc/1529266","WorldCat Record")</f>
        <v/>
      </c>
    </row>
    <row r="444">
      <c r="A444" t="inlineStr">
        <is>
          <t>No</t>
        </is>
      </c>
      <c r="B444" t="inlineStr">
        <is>
          <t>R853.H8 R35 1975</t>
        </is>
      </c>
      <c r="C444" t="inlineStr">
        <is>
          <t>0                      R  0853000H  8                  R  35          1975</t>
        </is>
      </c>
      <c r="D444" t="inlineStr">
        <is>
          <t>The ethics of fetal research / Paul Ramsey.</t>
        </is>
      </c>
      <c r="F444" t="inlineStr">
        <is>
          <t>No</t>
        </is>
      </c>
      <c r="G444" t="inlineStr">
        <is>
          <t>1</t>
        </is>
      </c>
      <c r="H444" t="inlineStr">
        <is>
          <t>Yes</t>
        </is>
      </c>
      <c r="I444" t="inlineStr">
        <is>
          <t>No</t>
        </is>
      </c>
      <c r="J444" t="inlineStr">
        <is>
          <t>0</t>
        </is>
      </c>
      <c r="K444" t="inlineStr">
        <is>
          <t>Ramsey, Paul.</t>
        </is>
      </c>
      <c r="L444" t="inlineStr">
        <is>
          <t>New Haven : Yale University Press, 1975.</t>
        </is>
      </c>
      <c r="M444" t="inlineStr">
        <is>
          <t>1975</t>
        </is>
      </c>
      <c r="O444" t="inlineStr">
        <is>
          <t>eng</t>
        </is>
      </c>
      <c r="P444" t="inlineStr">
        <is>
          <t>ctu</t>
        </is>
      </c>
      <c r="Q444" t="inlineStr">
        <is>
          <t>A Yale fastback ; 15</t>
        </is>
      </c>
      <c r="R444" t="inlineStr">
        <is>
          <t xml:space="preserve">R  </t>
        </is>
      </c>
      <c r="S444" t="n">
        <v>4</v>
      </c>
      <c r="T444" t="n">
        <v>25</v>
      </c>
      <c r="U444" t="inlineStr">
        <is>
          <t>1995-01-18</t>
        </is>
      </c>
      <c r="V444" t="inlineStr">
        <is>
          <t>2010-06-10</t>
        </is>
      </c>
      <c r="W444" t="inlineStr">
        <is>
          <t>1989-03-17</t>
        </is>
      </c>
      <c r="X444" t="inlineStr">
        <is>
          <t>1990-04-18</t>
        </is>
      </c>
      <c r="Y444" t="n">
        <v>994</v>
      </c>
      <c r="Z444" t="n">
        <v>852</v>
      </c>
      <c r="AA444" t="n">
        <v>854</v>
      </c>
      <c r="AB444" t="n">
        <v>5</v>
      </c>
      <c r="AC444" t="n">
        <v>5</v>
      </c>
      <c r="AD444" t="n">
        <v>44</v>
      </c>
      <c r="AE444" t="n">
        <v>44</v>
      </c>
      <c r="AF444" t="n">
        <v>13</v>
      </c>
      <c r="AG444" t="n">
        <v>13</v>
      </c>
      <c r="AH444" t="n">
        <v>8</v>
      </c>
      <c r="AI444" t="n">
        <v>8</v>
      </c>
      <c r="AJ444" t="n">
        <v>20</v>
      </c>
      <c r="AK444" t="n">
        <v>20</v>
      </c>
      <c r="AL444" t="n">
        <v>1</v>
      </c>
      <c r="AM444" t="n">
        <v>1</v>
      </c>
      <c r="AN444" t="n">
        <v>12</v>
      </c>
      <c r="AO444" t="n">
        <v>12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HYPERLINK("https://creighton-primo.hosted.exlibrisgroup.com/primo-explore/search?tab=default_tab&amp;search_scope=EVERYTHING&amp;vid=01CRU&amp;lang=en_US&amp;offset=0&amp;query=any,contains,991001790269702656","Catalog Record")</f>
        <v/>
      </c>
      <c r="AT444">
        <f>HYPERLINK("http://www.worldcat.org/oclc/1266071","WorldCat Record")</f>
        <v/>
      </c>
    </row>
    <row r="445">
      <c r="A445" t="inlineStr">
        <is>
          <t>No</t>
        </is>
      </c>
      <c r="B445" t="inlineStr">
        <is>
          <t>R854.U5 A7</t>
        </is>
      </c>
      <c r="C445" t="inlineStr">
        <is>
          <t>0                      R  0854000U  5                  A  7</t>
        </is>
      </c>
      <c r="D445" t="inlineStr">
        <is>
          <t>Medical research : a midcentury survey.</t>
        </is>
      </c>
      <c r="E445" t="inlineStr">
        <is>
          <t>V. 1</t>
        </is>
      </c>
      <c r="F445" t="inlineStr">
        <is>
          <t>Yes</t>
        </is>
      </c>
      <c r="G445" t="inlineStr">
        <is>
          <t>1</t>
        </is>
      </c>
      <c r="H445" t="inlineStr">
        <is>
          <t>Yes</t>
        </is>
      </c>
      <c r="I445" t="inlineStr">
        <is>
          <t>No</t>
        </is>
      </c>
      <c r="J445" t="inlineStr">
        <is>
          <t>0</t>
        </is>
      </c>
      <c r="K445" t="inlineStr">
        <is>
          <t>American Foundation.</t>
        </is>
      </c>
      <c r="L445" t="inlineStr">
        <is>
          <t>Boston : Published for the American Foundation by Little, Brown, [1955]</t>
        </is>
      </c>
      <c r="M445" t="inlineStr">
        <is>
          <t>1955</t>
        </is>
      </c>
      <c r="N445" t="inlineStr">
        <is>
          <t>[1st ed.]</t>
        </is>
      </c>
      <c r="O445" t="inlineStr">
        <is>
          <t>eng</t>
        </is>
      </c>
      <c r="P445" t="inlineStr">
        <is>
          <t>mau</t>
        </is>
      </c>
      <c r="R445" t="inlineStr">
        <is>
          <t xml:space="preserve">R  </t>
        </is>
      </c>
      <c r="S445" t="n">
        <v>0</v>
      </c>
      <c r="T445" t="n">
        <v>2</v>
      </c>
      <c r="V445" t="inlineStr">
        <is>
          <t>1996-09-26</t>
        </is>
      </c>
      <c r="W445" t="inlineStr">
        <is>
          <t>1987-10-01</t>
        </is>
      </c>
      <c r="X445" t="inlineStr">
        <is>
          <t>1995-02-24</t>
        </is>
      </c>
      <c r="Y445" t="n">
        <v>389</v>
      </c>
      <c r="Z445" t="n">
        <v>340</v>
      </c>
      <c r="AA445" t="n">
        <v>365</v>
      </c>
      <c r="AB445" t="n">
        <v>4</v>
      </c>
      <c r="AC445" t="n">
        <v>4</v>
      </c>
      <c r="AD445" t="n">
        <v>13</v>
      </c>
      <c r="AE445" t="n">
        <v>13</v>
      </c>
      <c r="AF445" t="n">
        <v>4</v>
      </c>
      <c r="AG445" t="n">
        <v>4</v>
      </c>
      <c r="AH445" t="n">
        <v>3</v>
      </c>
      <c r="AI445" t="n">
        <v>3</v>
      </c>
      <c r="AJ445" t="n">
        <v>7</v>
      </c>
      <c r="AK445" t="n">
        <v>7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HYPERLINK("http://catalog.hathitrust.org/Record/004416443","HathiTrust Record")</f>
        <v/>
      </c>
      <c r="AS445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445">
        <f>HYPERLINK("http://www.worldcat.org/oclc/14659796","WorldCat Record")</f>
        <v/>
      </c>
    </row>
    <row r="446">
      <c r="A446" t="inlineStr">
        <is>
          <t>No</t>
        </is>
      </c>
      <c r="B446" t="inlineStr">
        <is>
          <t>R854.U5 A7</t>
        </is>
      </c>
      <c r="C446" t="inlineStr">
        <is>
          <t>0                      R  0854000U  5                  A  7</t>
        </is>
      </c>
      <c r="D446" t="inlineStr">
        <is>
          <t>Medical research : a midcentury survey.</t>
        </is>
      </c>
      <c r="E446" t="inlineStr">
        <is>
          <t>V. 2</t>
        </is>
      </c>
      <c r="F446" t="inlineStr">
        <is>
          <t>Yes</t>
        </is>
      </c>
      <c r="G446" t="inlineStr">
        <is>
          <t>1</t>
        </is>
      </c>
      <c r="H446" t="inlineStr">
        <is>
          <t>Yes</t>
        </is>
      </c>
      <c r="I446" t="inlineStr">
        <is>
          <t>No</t>
        </is>
      </c>
      <c r="J446" t="inlineStr">
        <is>
          <t>0</t>
        </is>
      </c>
      <c r="K446" t="inlineStr">
        <is>
          <t>American Foundation.</t>
        </is>
      </c>
      <c r="L446" t="inlineStr">
        <is>
          <t>Boston : Published for the American Foundation by Little, Brown, [1955]</t>
        </is>
      </c>
      <c r="M446" t="inlineStr">
        <is>
          <t>1955</t>
        </is>
      </c>
      <c r="N446" t="inlineStr">
        <is>
          <t>[1st ed.]</t>
        </is>
      </c>
      <c r="O446" t="inlineStr">
        <is>
          <t>eng</t>
        </is>
      </c>
      <c r="P446" t="inlineStr">
        <is>
          <t>mau</t>
        </is>
      </c>
      <c r="R446" t="inlineStr">
        <is>
          <t xml:space="preserve">R  </t>
        </is>
      </c>
      <c r="S446" t="n">
        <v>0</v>
      </c>
      <c r="T446" t="n">
        <v>2</v>
      </c>
      <c r="V446" t="inlineStr">
        <is>
          <t>1996-09-26</t>
        </is>
      </c>
      <c r="W446" t="inlineStr">
        <is>
          <t>1987-10-01</t>
        </is>
      </c>
      <c r="X446" t="inlineStr">
        <is>
          <t>1995-02-24</t>
        </is>
      </c>
      <c r="Y446" t="n">
        <v>389</v>
      </c>
      <c r="Z446" t="n">
        <v>340</v>
      </c>
      <c r="AA446" t="n">
        <v>365</v>
      </c>
      <c r="AB446" t="n">
        <v>4</v>
      </c>
      <c r="AC446" t="n">
        <v>4</v>
      </c>
      <c r="AD446" t="n">
        <v>13</v>
      </c>
      <c r="AE446" t="n">
        <v>13</v>
      </c>
      <c r="AF446" t="n">
        <v>4</v>
      </c>
      <c r="AG446" t="n">
        <v>4</v>
      </c>
      <c r="AH446" t="n">
        <v>3</v>
      </c>
      <c r="AI446" t="n">
        <v>3</v>
      </c>
      <c r="AJ446" t="n">
        <v>7</v>
      </c>
      <c r="AK446" t="n">
        <v>7</v>
      </c>
      <c r="AL446" t="n">
        <v>2</v>
      </c>
      <c r="AM446" t="n">
        <v>2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HYPERLINK("http://catalog.hathitrust.org/Record/004416443","HathiTrust Record")</f>
        <v/>
      </c>
      <c r="AS446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446">
        <f>HYPERLINK("http://www.worldcat.org/oclc/14659796","WorldCat Record")</f>
        <v/>
      </c>
    </row>
    <row r="447">
      <c r="A447" t="inlineStr">
        <is>
          <t>No</t>
        </is>
      </c>
      <c r="B447" t="inlineStr">
        <is>
          <t>IN SERIALS</t>
        </is>
      </c>
      <c r="C447" t="inlineStr">
        <is>
          <t>8IN SERIALS</t>
        </is>
      </c>
      <c r="D447" t="inlineStr">
        <is>
          <t>A medical student at St. Thomas's Hospital, 1801-1802 : the Weekes family letters / [compiled] by John M.T. Ford.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London : Wellcome Institute for the History of Medicine, c1987.</t>
        </is>
      </c>
      <c r="M447" t="inlineStr">
        <is>
          <t>1987</t>
        </is>
      </c>
      <c r="O447" t="inlineStr">
        <is>
          <t>eng</t>
        </is>
      </c>
      <c r="P447" t="inlineStr">
        <is>
          <t>enk</t>
        </is>
      </c>
      <c r="Q447" t="inlineStr">
        <is>
          <t>Medical history. Supplement, 0950-5571 ; no. 7</t>
        </is>
      </c>
      <c r="R447" t="inlineStr">
        <is>
          <t xml:space="preserve">R  </t>
        </is>
      </c>
      <c r="S447" t="n">
        <v>3</v>
      </c>
      <c r="T447" t="n">
        <v>3</v>
      </c>
      <c r="U447" t="inlineStr">
        <is>
          <t>1989-03-07</t>
        </is>
      </c>
      <c r="V447" t="inlineStr">
        <is>
          <t>1989-03-07</t>
        </is>
      </c>
      <c r="W447" t="inlineStr">
        <is>
          <t>1989-03-07</t>
        </is>
      </c>
      <c r="X447" t="inlineStr">
        <is>
          <t>1989-03-07</t>
        </is>
      </c>
      <c r="Y447" t="n">
        <v>200</v>
      </c>
      <c r="Z447" t="n">
        <v>125</v>
      </c>
      <c r="AA447" t="n">
        <v>125</v>
      </c>
      <c r="AB447" t="n">
        <v>1</v>
      </c>
      <c r="AC447" t="n">
        <v>1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inlineStr">
        <is>
          <t>No</t>
        </is>
      </c>
      <c r="AQ447" t="inlineStr">
        <is>
          <t>No</t>
        </is>
      </c>
      <c r="AS447">
        <f>HYPERLINK("https://creighton-primo.hosted.exlibrisgroup.com/primo-explore/search?tab=default_tab&amp;search_scope=EVERYTHING&amp;vid=01CRU&amp;lang=en_US&amp;offset=0&amp;query=any,contains,991001220459702656","Catalog Record")</f>
        <v/>
      </c>
      <c r="AT447">
        <f>HYPERLINK("http://www.worldcat.org/oclc/21483332","WorldCat Record")</f>
        <v/>
      </c>
    </row>
    <row r="448">
      <c r="A448" t="inlineStr">
        <is>
          <t>No</t>
        </is>
      </c>
      <c r="B448" t="inlineStr">
        <is>
          <t>IN SERIALS</t>
        </is>
      </c>
      <c r="C448" t="inlineStr">
        <is>
          <t>8IN SERIALS</t>
        </is>
      </c>
      <c r="D448" t="inlineStr">
        <is>
          <t>Adolescent medicine / Marianne E. Felice, guest editor.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L448" t="inlineStr">
        <is>
          <t>Philadelphia : Saunders, c1987.</t>
        </is>
      </c>
      <c r="M448" t="inlineStr">
        <is>
          <t>1987</t>
        </is>
      </c>
      <c r="O448" t="inlineStr">
        <is>
          <t>eng</t>
        </is>
      </c>
      <c r="P448" t="inlineStr">
        <is>
          <t>xxu</t>
        </is>
      </c>
      <c r="Q448" t="inlineStr">
        <is>
          <t>Primary care, 0095-4543 ; v. 14, no. 1 (March 1987)</t>
        </is>
      </c>
      <c r="R448" t="inlineStr">
        <is>
          <t xml:space="preserve">R  </t>
        </is>
      </c>
      <c r="S448" t="n">
        <v>0</v>
      </c>
      <c r="T448" t="n">
        <v>0</v>
      </c>
      <c r="U448" t="inlineStr">
        <is>
          <t>2002-05-22</t>
        </is>
      </c>
      <c r="V448" t="inlineStr">
        <is>
          <t>2002-05-22</t>
        </is>
      </c>
      <c r="W448" t="inlineStr">
        <is>
          <t>2000-06-15</t>
        </is>
      </c>
      <c r="X448" t="inlineStr">
        <is>
          <t>2000-06-15</t>
        </is>
      </c>
      <c r="Y448" t="n">
        <v>42</v>
      </c>
      <c r="Z448" t="n">
        <v>34</v>
      </c>
      <c r="AA448" t="n">
        <v>34</v>
      </c>
      <c r="AB448" t="n">
        <v>2</v>
      </c>
      <c r="AC448" t="n">
        <v>2</v>
      </c>
      <c r="AD448" t="n">
        <v>1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1</v>
      </c>
      <c r="AM448" t="n">
        <v>1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HYPERLINK("https://creighton-primo.hosted.exlibrisgroup.com/primo-explore/search?tab=default_tab&amp;search_scope=EVERYTHING&amp;vid=01CRU&amp;lang=en_US&amp;offset=0&amp;query=any,contains,991000216409702656","Catalog Record")</f>
        <v/>
      </c>
      <c r="AT448">
        <f>HYPERLINK("http://www.worldcat.org/oclc/19400117","WorldCat Record")</f>
        <v/>
      </c>
    </row>
    <row r="449">
      <c r="A449" t="inlineStr">
        <is>
          <t>No</t>
        </is>
      </c>
      <c r="D449" t="inlineStr">
        <is>
          <t>Ethics in the workplace / guest editors, Linda Forst, Peter Orris.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Philadelphia : Hanley &amp; Belfus, Inc., c2002.</t>
        </is>
      </c>
      <c r="M449" t="inlineStr">
        <is>
          <t>2002</t>
        </is>
      </c>
      <c r="O449" t="inlineStr">
        <is>
          <t>eng</t>
        </is>
      </c>
      <c r="P449" t="inlineStr">
        <is>
          <t>pau</t>
        </is>
      </c>
      <c r="Q449" t="inlineStr">
        <is>
          <t>Occupational medicine, state of the art reviews, 0885-114X ; v. 17, no. 4</t>
        </is>
      </c>
      <c r="R449" t="inlineStr">
        <is>
          <t xml:space="preserve">R  </t>
        </is>
      </c>
      <c r="S449" t="n">
        <v>4</v>
      </c>
      <c r="T449" t="n">
        <v>4</v>
      </c>
      <c r="U449" t="inlineStr">
        <is>
          <t>2004-05-10</t>
        </is>
      </c>
      <c r="V449" t="inlineStr">
        <is>
          <t>2004-05-10</t>
        </is>
      </c>
      <c r="W449" t="inlineStr">
        <is>
          <t>2004-02-29</t>
        </is>
      </c>
      <c r="X449" t="inlineStr">
        <is>
          <t>2004-02-29</t>
        </is>
      </c>
      <c r="Y449" t="n">
        <v>32</v>
      </c>
      <c r="Z449" t="n">
        <v>24</v>
      </c>
      <c r="AA449" t="n">
        <v>24</v>
      </c>
      <c r="AB449" t="n">
        <v>1</v>
      </c>
      <c r="AC449" t="n">
        <v>1</v>
      </c>
      <c r="AD449" t="n">
        <v>1</v>
      </c>
      <c r="AE449" t="n">
        <v>1</v>
      </c>
      <c r="AF449" t="n">
        <v>0</v>
      </c>
      <c r="AG449" t="n">
        <v>0</v>
      </c>
      <c r="AH449" t="n">
        <v>1</v>
      </c>
      <c r="AI449" t="n">
        <v>1</v>
      </c>
      <c r="AJ449" t="n">
        <v>0</v>
      </c>
      <c r="AK449" t="n">
        <v>0</v>
      </c>
      <c r="AL449" t="n">
        <v>0</v>
      </c>
      <c r="AM449" t="n">
        <v>0</v>
      </c>
      <c r="AN449" t="n">
        <v>0</v>
      </c>
      <c r="AO449" t="n">
        <v>0</v>
      </c>
      <c r="AP449" t="inlineStr">
        <is>
          <t>No</t>
        </is>
      </c>
      <c r="AQ449" t="inlineStr">
        <is>
          <t>No</t>
        </is>
      </c>
      <c r="AS449">
        <f>HYPERLINK("https://creighton-primo.hosted.exlibrisgroup.com/primo-explore/search?tab=default_tab&amp;search_scope=EVERYTHING&amp;vid=01CRU&amp;lang=en_US&amp;offset=0&amp;query=any,contains,991000367139702656","Catalog Record")</f>
        <v/>
      </c>
      <c r="AT449">
        <f>HYPERLINK("http://www.worldcat.org/oclc/51100786","WorldCat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