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053"/>
  <sheetViews>
    <sheetView workbookViewId="0">
      <selection activeCell="A1" sqref="A1"/>
    </sheetView>
  </sheetViews>
  <sheetFormatPr baseColWidth="8" defaultRowHeight="15"/>
  <sheetData>
    <row r="1">
      <c r="A1" t="inlineStr">
        <is>
          <t>Keep in Collection? (Yes/No)</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A2" t="inlineStr">
        <is>
          <t>No</t>
        </is>
      </c>
      <c r="B2" t="inlineStr">
        <is>
          <t>CUHSL</t>
        </is>
      </c>
      <c r="C2" t="inlineStr">
        <is>
          <t>SHELVES</t>
        </is>
      </c>
      <c r="D2" t="inlineStr">
        <is>
          <t>W 1 AD787 1975</t>
        </is>
      </c>
      <c r="E2" t="inlineStr">
        <is>
          <t>0                      W  0001000AD 787         1975</t>
        </is>
      </c>
      <c r="F2" t="inlineStr">
        <is>
          <t>Advances in prostaglandin and thromboxane research / Edited by Bengt Samuelsson, Rodolfo Paoletti.</t>
        </is>
      </c>
      <c r="G2" t="inlineStr">
        <is>
          <t>V. 2</t>
        </is>
      </c>
      <c r="H2" t="inlineStr">
        <is>
          <t>Yes</t>
        </is>
      </c>
      <c r="I2" t="inlineStr">
        <is>
          <t>1</t>
        </is>
      </c>
      <c r="J2" t="inlineStr">
        <is>
          <t>No</t>
        </is>
      </c>
      <c r="K2" t="inlineStr">
        <is>
          <t>No</t>
        </is>
      </c>
      <c r="L2" t="inlineStr">
        <is>
          <t>0</t>
        </is>
      </c>
      <c r="N2" t="inlineStr">
        <is>
          <t>New York : Raven Press c1976.</t>
        </is>
      </c>
      <c r="O2" t="inlineStr">
        <is>
          <t>1976</t>
        </is>
      </c>
      <c r="Q2" t="inlineStr">
        <is>
          <t>eng</t>
        </is>
      </c>
      <c r="R2" t="inlineStr">
        <is>
          <t>nyu</t>
        </is>
      </c>
      <c r="T2" t="inlineStr">
        <is>
          <t xml:space="preserve">W  </t>
        </is>
      </c>
      <c r="U2" t="n">
        <v>2</v>
      </c>
      <c r="V2" t="n">
        <v>2</v>
      </c>
      <c r="W2" t="inlineStr">
        <is>
          <t>1990-10-10</t>
        </is>
      </c>
      <c r="X2" t="inlineStr">
        <is>
          <t>1990-10-10</t>
        </is>
      </c>
      <c r="Y2" t="inlineStr">
        <is>
          <t>1987-12-22</t>
        </is>
      </c>
      <c r="Z2" t="inlineStr">
        <is>
          <t>1987-12-22</t>
        </is>
      </c>
      <c r="AA2" t="n">
        <v>262</v>
      </c>
      <c r="AB2" t="n">
        <v>188</v>
      </c>
      <c r="AC2" t="n">
        <v>189</v>
      </c>
      <c r="AD2" t="n">
        <v>2</v>
      </c>
      <c r="AE2" t="n">
        <v>2</v>
      </c>
      <c r="AF2" t="n">
        <v>5</v>
      </c>
      <c r="AG2" t="n">
        <v>5</v>
      </c>
      <c r="AH2" t="n">
        <v>0</v>
      </c>
      <c r="AI2" t="n">
        <v>0</v>
      </c>
      <c r="AJ2" t="n">
        <v>2</v>
      </c>
      <c r="AK2" t="n">
        <v>2</v>
      </c>
      <c r="AL2" t="n">
        <v>2</v>
      </c>
      <c r="AM2" t="n">
        <v>2</v>
      </c>
      <c r="AN2" t="n">
        <v>1</v>
      </c>
      <c r="AO2" t="n">
        <v>1</v>
      </c>
      <c r="AP2" t="n">
        <v>0</v>
      </c>
      <c r="AQ2" t="n">
        <v>0</v>
      </c>
      <c r="AR2" t="inlineStr">
        <is>
          <t>No</t>
        </is>
      </c>
      <c r="AS2" t="inlineStr">
        <is>
          <t>Yes</t>
        </is>
      </c>
      <c r="AT2">
        <f>HYPERLINK("http://catalog.hathitrust.org/Record/000681163","HathiTrust Record")</f>
        <v/>
      </c>
      <c r="AU2">
        <f>HYPERLINK("https://creighton-primo.hosted.exlibrisgroup.com/primo-explore/search?tab=default_tab&amp;search_scope=EVERYTHING&amp;vid=01CRU&amp;lang=en_US&amp;offset=0&amp;query=any,contains,991000957339702656","Catalog Record")</f>
        <v/>
      </c>
      <c r="AV2">
        <f>HYPERLINK("http://www.worldcat.org/oclc/2093202","WorldCat Record")</f>
        <v/>
      </c>
      <c r="AW2" t="inlineStr">
        <is>
          <t>1151047580:eng</t>
        </is>
      </c>
      <c r="AX2" t="inlineStr">
        <is>
          <t>2093202</t>
        </is>
      </c>
      <c r="AY2" t="inlineStr">
        <is>
          <t>991000957339702656</t>
        </is>
      </c>
      <c r="AZ2" t="inlineStr">
        <is>
          <t>991000957339702656</t>
        </is>
      </c>
      <c r="BA2" t="inlineStr">
        <is>
          <t>2259637210002656</t>
        </is>
      </c>
      <c r="BB2" t="inlineStr">
        <is>
          <t>BOOK</t>
        </is>
      </c>
      <c r="BD2" t="inlineStr">
        <is>
          <t>9780890040508</t>
        </is>
      </c>
      <c r="BE2" t="inlineStr">
        <is>
          <t>30001000194771</t>
        </is>
      </c>
      <c r="BF2" t="inlineStr">
        <is>
          <t>893551972</t>
        </is>
      </c>
    </row>
    <row r="3">
      <c r="A3" t="inlineStr">
        <is>
          <t>No</t>
        </is>
      </c>
      <c r="B3" t="inlineStr">
        <is>
          <t>CUHSL</t>
        </is>
      </c>
      <c r="C3" t="inlineStr">
        <is>
          <t>SHELVES</t>
        </is>
      </c>
      <c r="D3" t="inlineStr">
        <is>
          <t>W 1 AD787 1975</t>
        </is>
      </c>
      <c r="E3" t="inlineStr">
        <is>
          <t>0                      W  0001000AD 787         1975</t>
        </is>
      </c>
      <c r="F3" t="inlineStr">
        <is>
          <t>Advances in prostaglandin and thromboxane research / Edited by Bengt Samuelsson, Rodolfo Paoletti.</t>
        </is>
      </c>
      <c r="G3" t="inlineStr">
        <is>
          <t>V. 1</t>
        </is>
      </c>
      <c r="H3" t="inlineStr">
        <is>
          <t>Yes</t>
        </is>
      </c>
      <c r="I3" t="inlineStr">
        <is>
          <t>1</t>
        </is>
      </c>
      <c r="J3" t="inlineStr">
        <is>
          <t>No</t>
        </is>
      </c>
      <c r="K3" t="inlineStr">
        <is>
          <t>No</t>
        </is>
      </c>
      <c r="L3" t="inlineStr">
        <is>
          <t>0</t>
        </is>
      </c>
      <c r="N3" t="inlineStr">
        <is>
          <t>New York : Raven Press c1976.</t>
        </is>
      </c>
      <c r="O3" t="inlineStr">
        <is>
          <t>1976</t>
        </is>
      </c>
      <c r="Q3" t="inlineStr">
        <is>
          <t>eng</t>
        </is>
      </c>
      <c r="R3" t="inlineStr">
        <is>
          <t>nyu</t>
        </is>
      </c>
      <c r="T3" t="inlineStr">
        <is>
          <t xml:space="preserve">W  </t>
        </is>
      </c>
      <c r="U3" t="n">
        <v>0</v>
      </c>
      <c r="V3" t="n">
        <v>2</v>
      </c>
      <c r="X3" t="inlineStr">
        <is>
          <t>1990-10-10</t>
        </is>
      </c>
      <c r="Y3" t="inlineStr">
        <is>
          <t>1987-12-22</t>
        </is>
      </c>
      <c r="Z3" t="inlineStr">
        <is>
          <t>1987-12-22</t>
        </is>
      </c>
      <c r="AA3" t="n">
        <v>262</v>
      </c>
      <c r="AB3" t="n">
        <v>188</v>
      </c>
      <c r="AC3" t="n">
        <v>189</v>
      </c>
      <c r="AD3" t="n">
        <v>2</v>
      </c>
      <c r="AE3" t="n">
        <v>2</v>
      </c>
      <c r="AF3" t="n">
        <v>5</v>
      </c>
      <c r="AG3" t="n">
        <v>5</v>
      </c>
      <c r="AH3" t="n">
        <v>0</v>
      </c>
      <c r="AI3" t="n">
        <v>0</v>
      </c>
      <c r="AJ3" t="n">
        <v>2</v>
      </c>
      <c r="AK3" t="n">
        <v>2</v>
      </c>
      <c r="AL3" t="n">
        <v>2</v>
      </c>
      <c r="AM3" t="n">
        <v>2</v>
      </c>
      <c r="AN3" t="n">
        <v>1</v>
      </c>
      <c r="AO3" t="n">
        <v>1</v>
      </c>
      <c r="AP3" t="n">
        <v>0</v>
      </c>
      <c r="AQ3" t="n">
        <v>0</v>
      </c>
      <c r="AR3" t="inlineStr">
        <is>
          <t>No</t>
        </is>
      </c>
      <c r="AS3" t="inlineStr">
        <is>
          <t>Yes</t>
        </is>
      </c>
      <c r="AT3">
        <f>HYPERLINK("http://catalog.hathitrust.org/Record/000681163","HathiTrust Record")</f>
        <v/>
      </c>
      <c r="AU3">
        <f>HYPERLINK("https://creighton-primo.hosted.exlibrisgroup.com/primo-explore/search?tab=default_tab&amp;search_scope=EVERYTHING&amp;vid=01CRU&amp;lang=en_US&amp;offset=0&amp;query=any,contains,991000957339702656","Catalog Record")</f>
        <v/>
      </c>
      <c r="AV3">
        <f>HYPERLINK("http://www.worldcat.org/oclc/2093202","WorldCat Record")</f>
        <v/>
      </c>
      <c r="AW3" t="inlineStr">
        <is>
          <t>1151047580:eng</t>
        </is>
      </c>
      <c r="AX3" t="inlineStr">
        <is>
          <t>2093202</t>
        </is>
      </c>
      <c r="AY3" t="inlineStr">
        <is>
          <t>991000957339702656</t>
        </is>
      </c>
      <c r="AZ3" t="inlineStr">
        <is>
          <t>991000957339702656</t>
        </is>
      </c>
      <c r="BA3" t="inlineStr">
        <is>
          <t>2259637210002656</t>
        </is>
      </c>
      <c r="BB3" t="inlineStr">
        <is>
          <t>BOOK</t>
        </is>
      </c>
      <c r="BD3" t="inlineStr">
        <is>
          <t>9780890040508</t>
        </is>
      </c>
      <c r="BE3" t="inlineStr">
        <is>
          <t>30001000194789</t>
        </is>
      </c>
      <c r="BF3" t="inlineStr">
        <is>
          <t>893546241</t>
        </is>
      </c>
    </row>
    <row r="4">
      <c r="A4" t="inlineStr">
        <is>
          <t>No</t>
        </is>
      </c>
      <c r="B4" t="inlineStr">
        <is>
          <t>CUHSL</t>
        </is>
      </c>
      <c r="C4" t="inlineStr">
        <is>
          <t>SHELVES</t>
        </is>
      </c>
      <c r="D4" t="inlineStr">
        <is>
          <t>W 1 AD787 1981 v.9</t>
        </is>
      </c>
      <c r="E4" t="inlineStr">
        <is>
          <t>0                      W  0001000AD 787         1981                                        v.9</t>
        </is>
      </c>
      <c r="F4" t="inlineStr">
        <is>
          <t>Leukotrienes and other lipoxygenase products / editors, Bengt Samuelsson, Rodolfo Paoletti.</t>
        </is>
      </c>
      <c r="G4" t="inlineStr">
        <is>
          <t>V. 9</t>
        </is>
      </c>
      <c r="H4" t="inlineStr">
        <is>
          <t>No</t>
        </is>
      </c>
      <c r="I4" t="inlineStr">
        <is>
          <t>1</t>
        </is>
      </c>
      <c r="J4" t="inlineStr">
        <is>
          <t>No</t>
        </is>
      </c>
      <c r="K4" t="inlineStr">
        <is>
          <t>No</t>
        </is>
      </c>
      <c r="L4" t="inlineStr">
        <is>
          <t>0</t>
        </is>
      </c>
      <c r="N4" t="inlineStr">
        <is>
          <t>New York : Raven Press, c1982.</t>
        </is>
      </c>
      <c r="O4" t="inlineStr">
        <is>
          <t>1982</t>
        </is>
      </c>
      <c r="Q4" t="inlineStr">
        <is>
          <t>eng</t>
        </is>
      </c>
      <c r="R4" t="inlineStr">
        <is>
          <t>xxu</t>
        </is>
      </c>
      <c r="S4" t="inlineStr">
        <is>
          <t>Advances in prostaglandin, thromboxane, and leukotriene research ; v. 9</t>
        </is>
      </c>
      <c r="T4" t="inlineStr">
        <is>
          <t xml:space="preserve">W  </t>
        </is>
      </c>
      <c r="U4" t="n">
        <v>1</v>
      </c>
      <c r="V4" t="n">
        <v>1</v>
      </c>
      <c r="W4" t="inlineStr">
        <is>
          <t>1996-02-05</t>
        </is>
      </c>
      <c r="X4" t="inlineStr">
        <is>
          <t>1996-02-05</t>
        </is>
      </c>
      <c r="Y4" t="inlineStr">
        <is>
          <t>1989-02-23</t>
        </is>
      </c>
      <c r="Z4" t="inlineStr">
        <is>
          <t>1989-02-23</t>
        </is>
      </c>
      <c r="AA4" t="n">
        <v>136</v>
      </c>
      <c r="AB4" t="n">
        <v>90</v>
      </c>
      <c r="AC4" t="n">
        <v>90</v>
      </c>
      <c r="AD4" t="n">
        <v>2</v>
      </c>
      <c r="AE4" t="n">
        <v>2</v>
      </c>
      <c r="AF4" t="n">
        <v>4</v>
      </c>
      <c r="AG4" t="n">
        <v>4</v>
      </c>
      <c r="AH4" t="n">
        <v>0</v>
      </c>
      <c r="AI4" t="n">
        <v>0</v>
      </c>
      <c r="AJ4" t="n">
        <v>2</v>
      </c>
      <c r="AK4" t="n">
        <v>2</v>
      </c>
      <c r="AL4" t="n">
        <v>2</v>
      </c>
      <c r="AM4" t="n">
        <v>2</v>
      </c>
      <c r="AN4" t="n">
        <v>1</v>
      </c>
      <c r="AO4" t="n">
        <v>1</v>
      </c>
      <c r="AP4" t="n">
        <v>0</v>
      </c>
      <c r="AQ4" t="n">
        <v>0</v>
      </c>
      <c r="AR4" t="inlineStr">
        <is>
          <t>No</t>
        </is>
      </c>
      <c r="AS4" t="inlineStr">
        <is>
          <t>No</t>
        </is>
      </c>
      <c r="AU4">
        <f>HYPERLINK("https://creighton-primo.hosted.exlibrisgroup.com/primo-explore/search?tab=default_tab&amp;search_scope=EVERYTHING&amp;vid=01CRU&amp;lang=en_US&amp;offset=0&amp;query=any,contains,991000957239702656","Catalog Record")</f>
        <v/>
      </c>
      <c r="AV4">
        <f>HYPERLINK("http://www.worldcat.org/oclc/8764920","WorldCat Record")</f>
        <v/>
      </c>
      <c r="AW4" t="inlineStr">
        <is>
          <t>355693965:eng</t>
        </is>
      </c>
      <c r="AX4" t="inlineStr">
        <is>
          <t>8764920</t>
        </is>
      </c>
      <c r="AY4" t="inlineStr">
        <is>
          <t>991000957239702656</t>
        </is>
      </c>
      <c r="AZ4" t="inlineStr">
        <is>
          <t>991000957239702656</t>
        </is>
      </c>
      <c r="BA4" t="inlineStr">
        <is>
          <t>2268122770002656</t>
        </is>
      </c>
      <c r="BB4" t="inlineStr">
        <is>
          <t>BOOK</t>
        </is>
      </c>
      <c r="BD4" t="inlineStr">
        <is>
          <t>9780890047415</t>
        </is>
      </c>
      <c r="BE4" t="inlineStr">
        <is>
          <t>30001000194748</t>
        </is>
      </c>
      <c r="BF4" t="inlineStr">
        <is>
          <t>893540858</t>
        </is>
      </c>
    </row>
    <row r="5">
      <c r="A5" t="inlineStr">
        <is>
          <t>No</t>
        </is>
      </c>
      <c r="B5" t="inlineStr">
        <is>
          <t>CUHSL</t>
        </is>
      </c>
      <c r="C5" t="inlineStr">
        <is>
          <t>SHELVES</t>
        </is>
      </c>
      <c r="D5" t="inlineStr">
        <is>
          <t>W 1 AD787 1988 v.19</t>
        </is>
      </c>
      <c r="E5" t="inlineStr">
        <is>
          <t>0                      W  0001000AD 787         1988                                        v.19</t>
        </is>
      </c>
      <c r="F5" t="inlineStr">
        <is>
          <t>Taipei Conference on Prostaglandin and Leukotriene Research / editors, Bengt Samuelsson, Patrick Y.-K. Wong, Frank F. Sun.</t>
        </is>
      </c>
      <c r="G5" t="inlineStr">
        <is>
          <t>V.19</t>
        </is>
      </c>
      <c r="H5" t="inlineStr">
        <is>
          <t>No</t>
        </is>
      </c>
      <c r="I5" t="inlineStr">
        <is>
          <t>1</t>
        </is>
      </c>
      <c r="J5" t="inlineStr">
        <is>
          <t>No</t>
        </is>
      </c>
      <c r="K5" t="inlineStr">
        <is>
          <t>No</t>
        </is>
      </c>
      <c r="L5" t="inlineStr">
        <is>
          <t>0</t>
        </is>
      </c>
      <c r="M5" t="inlineStr">
        <is>
          <t>Taipei Conference on Prostaglandin and Leukotriene Research (1988)</t>
        </is>
      </c>
      <c r="N5" t="inlineStr">
        <is>
          <t>New York : Raven, c1989.</t>
        </is>
      </c>
      <c r="O5" t="inlineStr">
        <is>
          <t>1988</t>
        </is>
      </c>
      <c r="Q5" t="inlineStr">
        <is>
          <t>eng</t>
        </is>
      </c>
      <c r="R5" t="inlineStr">
        <is>
          <t>nyu</t>
        </is>
      </c>
      <c r="S5" t="inlineStr">
        <is>
          <t>Advances in prostaglandin, thromboxane, and leukotriene research ; v. 19</t>
        </is>
      </c>
      <c r="T5" t="inlineStr">
        <is>
          <t xml:space="preserve">W  </t>
        </is>
      </c>
      <c r="U5" t="n">
        <v>10</v>
      </c>
      <c r="V5" t="n">
        <v>10</v>
      </c>
      <c r="W5" t="inlineStr">
        <is>
          <t>1996-02-22</t>
        </is>
      </c>
      <c r="X5" t="inlineStr">
        <is>
          <t>1996-02-22</t>
        </is>
      </c>
      <c r="Y5" t="inlineStr">
        <is>
          <t>1989-09-07</t>
        </is>
      </c>
      <c r="Z5" t="inlineStr">
        <is>
          <t>1989-09-07</t>
        </is>
      </c>
      <c r="AA5" t="n">
        <v>95</v>
      </c>
      <c r="AB5" t="n">
        <v>76</v>
      </c>
      <c r="AC5" t="n">
        <v>76</v>
      </c>
      <c r="AD5" t="n">
        <v>1</v>
      </c>
      <c r="AE5" t="n">
        <v>1</v>
      </c>
      <c r="AF5" t="n">
        <v>1</v>
      </c>
      <c r="AG5" t="n">
        <v>1</v>
      </c>
      <c r="AH5" t="n">
        <v>0</v>
      </c>
      <c r="AI5" t="n">
        <v>0</v>
      </c>
      <c r="AJ5" t="n">
        <v>1</v>
      </c>
      <c r="AK5" t="n">
        <v>1</v>
      </c>
      <c r="AL5" t="n">
        <v>0</v>
      </c>
      <c r="AM5" t="n">
        <v>0</v>
      </c>
      <c r="AN5" t="n">
        <v>0</v>
      </c>
      <c r="AO5" t="n">
        <v>0</v>
      </c>
      <c r="AP5" t="n">
        <v>0</v>
      </c>
      <c r="AQ5" t="n">
        <v>0</v>
      </c>
      <c r="AR5" t="inlineStr">
        <is>
          <t>No</t>
        </is>
      </c>
      <c r="AS5" t="inlineStr">
        <is>
          <t>No</t>
        </is>
      </c>
      <c r="AU5">
        <f>HYPERLINK("https://creighton-primo.hosted.exlibrisgroup.com/primo-explore/search?tab=default_tab&amp;search_scope=EVERYTHING&amp;vid=01CRU&amp;lang=en_US&amp;offset=0&amp;query=any,contains,991001316369702656","Catalog Record")</f>
        <v/>
      </c>
      <c r="AV5">
        <f>HYPERLINK("http://www.worldcat.org/oclc/20897916","WorldCat Record")</f>
        <v/>
      </c>
      <c r="AW5" t="inlineStr">
        <is>
          <t>356132198:eng</t>
        </is>
      </c>
      <c r="AX5" t="inlineStr">
        <is>
          <t>20897916</t>
        </is>
      </c>
      <c r="AY5" t="inlineStr">
        <is>
          <t>991001316369702656</t>
        </is>
      </c>
      <c r="AZ5" t="inlineStr">
        <is>
          <t>991001316369702656</t>
        </is>
      </c>
      <c r="BA5" t="inlineStr">
        <is>
          <t>2260644870002656</t>
        </is>
      </c>
      <c r="BB5" t="inlineStr">
        <is>
          <t>BOOK</t>
        </is>
      </c>
      <c r="BD5" t="inlineStr">
        <is>
          <t>9780881674965</t>
        </is>
      </c>
      <c r="BE5" t="inlineStr">
        <is>
          <t>30001001753013</t>
        </is>
      </c>
      <c r="BF5" t="inlineStr">
        <is>
          <t>893832096</t>
        </is>
      </c>
    </row>
    <row r="6">
      <c r="A6" t="inlineStr">
        <is>
          <t>No</t>
        </is>
      </c>
      <c r="B6" t="inlineStr">
        <is>
          <t>CUHSL</t>
        </is>
      </c>
      <c r="C6" t="inlineStr">
        <is>
          <t>SHELVES</t>
        </is>
      </c>
      <c r="D6" t="inlineStr">
        <is>
          <t>W 1 AD788 1984 v.13</t>
        </is>
      </c>
      <c r="E6" t="inlineStr">
        <is>
          <t>0                      W  0001000AD 788         1984                                        v.13</t>
        </is>
      </c>
      <c r="F6" t="inlineStr">
        <is>
          <t>Platelets, prostaglandins, and the cardiovascular system / editors, Gian G. Neri Serneri ... [et al.].</t>
        </is>
      </c>
      <c r="G6" t="inlineStr">
        <is>
          <t>V.13</t>
        </is>
      </c>
      <c r="H6" t="inlineStr">
        <is>
          <t>No</t>
        </is>
      </c>
      <c r="I6" t="inlineStr">
        <is>
          <t>1</t>
        </is>
      </c>
      <c r="J6" t="inlineStr">
        <is>
          <t>No</t>
        </is>
      </c>
      <c r="K6" t="inlineStr">
        <is>
          <t>No</t>
        </is>
      </c>
      <c r="L6" t="inlineStr">
        <is>
          <t>0</t>
        </is>
      </c>
      <c r="N6" t="inlineStr">
        <is>
          <t>New York : Raven Press, c1985.</t>
        </is>
      </c>
      <c r="O6" t="inlineStr">
        <is>
          <t>1985</t>
        </is>
      </c>
      <c r="Q6" t="inlineStr">
        <is>
          <t>eng</t>
        </is>
      </c>
      <c r="R6" t="inlineStr">
        <is>
          <t>xxu</t>
        </is>
      </c>
      <c r="S6" t="inlineStr">
        <is>
          <t>Advances in prostaglandin, thromboxane, and leukotriene research ; v. 13</t>
        </is>
      </c>
      <c r="T6" t="inlineStr">
        <is>
          <t xml:space="preserve">W  </t>
        </is>
      </c>
      <c r="U6" t="n">
        <v>3</v>
      </c>
      <c r="V6" t="n">
        <v>3</v>
      </c>
      <c r="W6" t="inlineStr">
        <is>
          <t>1991-02-11</t>
        </is>
      </c>
      <c r="X6" t="inlineStr">
        <is>
          <t>1991-02-11</t>
        </is>
      </c>
      <c r="Y6" t="inlineStr">
        <is>
          <t>1989-02-23</t>
        </is>
      </c>
      <c r="Z6" t="inlineStr">
        <is>
          <t>1989-02-23</t>
        </is>
      </c>
      <c r="AA6" t="n">
        <v>125</v>
      </c>
      <c r="AB6" t="n">
        <v>91</v>
      </c>
      <c r="AC6" t="n">
        <v>91</v>
      </c>
      <c r="AD6" t="n">
        <v>1</v>
      </c>
      <c r="AE6" t="n">
        <v>1</v>
      </c>
      <c r="AF6" t="n">
        <v>1</v>
      </c>
      <c r="AG6" t="n">
        <v>1</v>
      </c>
      <c r="AH6" t="n">
        <v>0</v>
      </c>
      <c r="AI6" t="n">
        <v>0</v>
      </c>
      <c r="AJ6" t="n">
        <v>1</v>
      </c>
      <c r="AK6" t="n">
        <v>1</v>
      </c>
      <c r="AL6" t="n">
        <v>0</v>
      </c>
      <c r="AM6" t="n">
        <v>0</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HYPERLINK("https://creighton-primo.hosted.exlibrisgroup.com/primo-explore/search?tab=default_tab&amp;search_scope=EVERYTHING&amp;vid=01CRU&amp;lang=en_US&amp;offset=0&amp;query=any,contains,991000957109702656","Catalog Record")</f>
        <v/>
      </c>
      <c r="AV6">
        <f>HYPERLINK("http://www.worldcat.org/oclc/11622028","WorldCat Record")</f>
        <v/>
      </c>
      <c r="AW6" t="inlineStr">
        <is>
          <t>509930921:eng</t>
        </is>
      </c>
      <c r="AX6" t="inlineStr">
        <is>
          <t>11622028</t>
        </is>
      </c>
      <c r="AY6" t="inlineStr">
        <is>
          <t>991000957109702656</t>
        </is>
      </c>
      <c r="AZ6" t="inlineStr">
        <is>
          <t>991000957109702656</t>
        </is>
      </c>
      <c r="BA6" t="inlineStr">
        <is>
          <t>2259954370002656</t>
        </is>
      </c>
      <c r="BB6" t="inlineStr">
        <is>
          <t>BOOK</t>
        </is>
      </c>
      <c r="BD6" t="inlineStr">
        <is>
          <t>9780881670622</t>
        </is>
      </c>
      <c r="BE6" t="inlineStr">
        <is>
          <t>30001000194714</t>
        </is>
      </c>
      <c r="BF6" t="inlineStr">
        <is>
          <t>893467740</t>
        </is>
      </c>
    </row>
    <row r="7">
      <c r="A7" t="inlineStr">
        <is>
          <t>No</t>
        </is>
      </c>
      <c r="B7" t="inlineStr">
        <is>
          <t>CUHSL</t>
        </is>
      </c>
      <c r="C7" t="inlineStr">
        <is>
          <t>SHELVES</t>
        </is>
      </c>
      <c r="D7" t="inlineStr">
        <is>
          <t>W 1 CO133C v.10B 1980</t>
        </is>
      </c>
      <c r="E7" t="inlineStr">
        <is>
          <t>0                      W  0001000CO 133C                                                    v.10B 1980</t>
        </is>
      </c>
      <c r="F7" t="inlineStr">
        <is>
          <t>Molecular biology of tumor viruses / edited by John Tooze.</t>
        </is>
      </c>
      <c r="G7" t="inlineStr">
        <is>
          <t>V.10B 1980 | V. 10B</t>
        </is>
      </c>
      <c r="H7" t="inlineStr">
        <is>
          <t>No</t>
        </is>
      </c>
      <c r="I7" t="inlineStr">
        <is>
          <t>1</t>
        </is>
      </c>
      <c r="J7" t="inlineStr">
        <is>
          <t>No</t>
        </is>
      </c>
      <c r="K7" t="inlineStr">
        <is>
          <t>No</t>
        </is>
      </c>
      <c r="L7" t="inlineStr">
        <is>
          <t>0</t>
        </is>
      </c>
      <c r="N7" t="inlineStr">
        <is>
          <t>Cold Spring Harbor, N.Y. : Cold Spring Harbor Laboratory, 1980.</t>
        </is>
      </c>
      <c r="O7" t="inlineStr">
        <is>
          <t>1900</t>
        </is>
      </c>
      <c r="P7" t="inlineStr">
        <is>
          <t>2nd ed.</t>
        </is>
      </c>
      <c r="Q7" t="inlineStr">
        <is>
          <t>eng</t>
        </is>
      </c>
      <c r="R7" t="inlineStr">
        <is>
          <t>nyu</t>
        </is>
      </c>
      <c r="S7" t="inlineStr">
        <is>
          <t>Cold Spring Harbor monographs ; 10B</t>
        </is>
      </c>
      <c r="T7" t="inlineStr">
        <is>
          <t xml:space="preserve">W  </t>
        </is>
      </c>
      <c r="U7" t="n">
        <v>2</v>
      </c>
      <c r="V7" t="n">
        <v>2</v>
      </c>
      <c r="W7" t="inlineStr">
        <is>
          <t>2003-03-15</t>
        </is>
      </c>
      <c r="X7" t="inlineStr">
        <is>
          <t>2003-03-15</t>
        </is>
      </c>
      <c r="Y7" t="inlineStr">
        <is>
          <t>1987-12-28</t>
        </is>
      </c>
      <c r="Z7" t="inlineStr">
        <is>
          <t>1987-12-28</t>
        </is>
      </c>
      <c r="AA7" t="n">
        <v>71</v>
      </c>
      <c r="AB7" t="n">
        <v>65</v>
      </c>
      <c r="AC7" t="n">
        <v>92</v>
      </c>
      <c r="AD7" t="n">
        <v>1</v>
      </c>
      <c r="AE7" t="n">
        <v>1</v>
      </c>
      <c r="AF7" t="n">
        <v>0</v>
      </c>
      <c r="AG7" t="n">
        <v>0</v>
      </c>
      <c r="AH7" t="n">
        <v>0</v>
      </c>
      <c r="AI7" t="n">
        <v>0</v>
      </c>
      <c r="AJ7" t="n">
        <v>0</v>
      </c>
      <c r="AK7" t="n">
        <v>0</v>
      </c>
      <c r="AL7" t="n">
        <v>0</v>
      </c>
      <c r="AM7" t="n">
        <v>0</v>
      </c>
      <c r="AN7" t="n">
        <v>0</v>
      </c>
      <c r="AO7" t="n">
        <v>0</v>
      </c>
      <c r="AP7" t="n">
        <v>0</v>
      </c>
      <c r="AQ7" t="n">
        <v>0</v>
      </c>
      <c r="AR7" t="inlineStr">
        <is>
          <t>No</t>
        </is>
      </c>
      <c r="AS7" t="inlineStr">
        <is>
          <t>Yes</t>
        </is>
      </c>
      <c r="AT7">
        <f>HYPERLINK("http://catalog.hathitrust.org/Record/009865139","HathiTrust Record")</f>
        <v/>
      </c>
      <c r="AU7">
        <f>HYPERLINK("https://creighton-primo.hosted.exlibrisgroup.com/primo-explore/search?tab=default_tab&amp;search_scope=EVERYTHING&amp;vid=01CRU&amp;lang=en_US&amp;offset=0&amp;query=any,contains,991000984099702656","Catalog Record")</f>
        <v/>
      </c>
      <c r="AV7">
        <f>HYPERLINK("http://www.worldcat.org/oclc/5333697","WorldCat Record")</f>
        <v/>
      </c>
      <c r="AW7" t="inlineStr">
        <is>
          <t>365444339:eng</t>
        </is>
      </c>
      <c r="AX7" t="inlineStr">
        <is>
          <t>5333697</t>
        </is>
      </c>
      <c r="AY7" t="inlineStr">
        <is>
          <t>991000984099702656</t>
        </is>
      </c>
      <c r="AZ7" t="inlineStr">
        <is>
          <t>991000984099702656</t>
        </is>
      </c>
      <c r="BA7" t="inlineStr">
        <is>
          <t>2265632920002656</t>
        </is>
      </c>
      <c r="BB7" t="inlineStr">
        <is>
          <t>BOOK</t>
        </is>
      </c>
      <c r="BD7" t="inlineStr">
        <is>
          <t>9780879691264</t>
        </is>
      </c>
      <c r="BE7" t="inlineStr">
        <is>
          <t>30001000215048</t>
        </is>
      </c>
      <c r="BF7" t="inlineStr">
        <is>
          <t>893546272</t>
        </is>
      </c>
    </row>
    <row r="8">
      <c r="A8" t="inlineStr">
        <is>
          <t>No</t>
        </is>
      </c>
      <c r="B8" t="inlineStr">
        <is>
          <t>CUHSL</t>
        </is>
      </c>
      <c r="C8" t="inlineStr">
        <is>
          <t>SHELVES</t>
        </is>
      </c>
      <c r="D8" t="inlineStr">
        <is>
          <t>W 1 DI163</t>
        </is>
      </c>
      <c r="E8" t="inlineStr">
        <is>
          <t>0                      W  0001000DI 163</t>
        </is>
      </c>
      <c r="F8" t="inlineStr">
        <is>
          <t>Diabetes mellitus : diagnosis and treatment.</t>
        </is>
      </c>
      <c r="G8" t="inlineStr">
        <is>
          <t>V. 2</t>
        </is>
      </c>
      <c r="H8" t="inlineStr">
        <is>
          <t>Yes</t>
        </is>
      </c>
      <c r="I8" t="inlineStr">
        <is>
          <t>1</t>
        </is>
      </c>
      <c r="J8" t="inlineStr">
        <is>
          <t>No</t>
        </is>
      </c>
      <c r="K8" t="inlineStr">
        <is>
          <t>No</t>
        </is>
      </c>
      <c r="L8" t="inlineStr">
        <is>
          <t>0</t>
        </is>
      </c>
      <c r="M8" t="inlineStr">
        <is>
          <t>American Diabetes Association. Committee on Professional Education.</t>
        </is>
      </c>
      <c r="O8" t="inlineStr">
        <is>
          <t>1964</t>
        </is>
      </c>
      <c r="Q8" t="inlineStr">
        <is>
          <t>eng</t>
        </is>
      </c>
      <c r="R8" t="inlineStr">
        <is>
          <t>nyu</t>
        </is>
      </c>
      <c r="T8" t="inlineStr">
        <is>
          <t xml:space="preserve">W  </t>
        </is>
      </c>
      <c r="U8" t="n">
        <v>5</v>
      </c>
      <c r="V8" t="n">
        <v>8</v>
      </c>
      <c r="W8" t="inlineStr">
        <is>
          <t>1989-02-27</t>
        </is>
      </c>
      <c r="X8" t="inlineStr">
        <is>
          <t>1998-10-30</t>
        </is>
      </c>
      <c r="Y8" t="inlineStr">
        <is>
          <t>1987-12-29</t>
        </is>
      </c>
      <c r="Z8" t="inlineStr">
        <is>
          <t>1987-12-29</t>
        </is>
      </c>
      <c r="AA8" t="n">
        <v>98</v>
      </c>
      <c r="AB8" t="n">
        <v>81</v>
      </c>
      <c r="AC8" t="n">
        <v>114</v>
      </c>
      <c r="AD8" t="n">
        <v>1</v>
      </c>
      <c r="AE8" t="n">
        <v>1</v>
      </c>
      <c r="AF8" t="n">
        <v>2</v>
      </c>
      <c r="AG8" t="n">
        <v>3</v>
      </c>
      <c r="AH8" t="n">
        <v>1</v>
      </c>
      <c r="AI8" t="n">
        <v>2</v>
      </c>
      <c r="AJ8" t="n">
        <v>1</v>
      </c>
      <c r="AK8" t="n">
        <v>1</v>
      </c>
      <c r="AL8" t="n">
        <v>1</v>
      </c>
      <c r="AM8" t="n">
        <v>2</v>
      </c>
      <c r="AN8" t="n">
        <v>0</v>
      </c>
      <c r="AO8" t="n">
        <v>0</v>
      </c>
      <c r="AP8" t="n">
        <v>0</v>
      </c>
      <c r="AQ8" t="n">
        <v>0</v>
      </c>
      <c r="AR8" t="inlineStr">
        <is>
          <t>No</t>
        </is>
      </c>
      <c r="AS8" t="inlineStr">
        <is>
          <t>Yes</t>
        </is>
      </c>
      <c r="AT8">
        <f>HYPERLINK("http://catalog.hathitrust.org/Record/008856297","HathiTrust Record")</f>
        <v/>
      </c>
      <c r="AU8">
        <f>HYPERLINK("https://creighton-primo.hosted.exlibrisgroup.com/primo-explore/search?tab=default_tab&amp;search_scope=EVERYTHING&amp;vid=01CRU&amp;lang=en_US&amp;offset=0&amp;query=any,contains,991000984229702656","Catalog Record")</f>
        <v/>
      </c>
      <c r="AV8">
        <f>HYPERLINK("http://www.worldcat.org/oclc/8193658","WorldCat Record")</f>
        <v/>
      </c>
      <c r="AW8" t="inlineStr">
        <is>
          <t>3857783724:eng</t>
        </is>
      </c>
      <c r="AX8" t="inlineStr">
        <is>
          <t>8193658</t>
        </is>
      </c>
      <c r="AY8" t="inlineStr">
        <is>
          <t>991000984229702656</t>
        </is>
      </c>
      <c r="AZ8" t="inlineStr">
        <is>
          <t>991000984229702656</t>
        </is>
      </c>
      <c r="BA8" t="inlineStr">
        <is>
          <t>2262266660002656</t>
        </is>
      </c>
      <c r="BB8" t="inlineStr">
        <is>
          <t>BOOK</t>
        </is>
      </c>
      <c r="BE8" t="inlineStr">
        <is>
          <t>30001000215451</t>
        </is>
      </c>
      <c r="BF8" t="inlineStr">
        <is>
          <t>893287147</t>
        </is>
      </c>
    </row>
    <row r="9">
      <c r="A9" t="inlineStr">
        <is>
          <t>No</t>
        </is>
      </c>
      <c r="B9" t="inlineStr">
        <is>
          <t>CUHSL</t>
        </is>
      </c>
      <c r="C9" t="inlineStr">
        <is>
          <t>SHELVES</t>
        </is>
      </c>
      <c r="D9" t="inlineStr">
        <is>
          <t>W 1 DI163</t>
        </is>
      </c>
      <c r="E9" t="inlineStr">
        <is>
          <t>0                      W  0001000DI 163</t>
        </is>
      </c>
      <c r="F9" t="inlineStr">
        <is>
          <t>Diabetes mellitus : diagnosis and treatment.</t>
        </is>
      </c>
      <c r="G9" t="inlineStr">
        <is>
          <t>V. 1</t>
        </is>
      </c>
      <c r="H9" t="inlineStr">
        <is>
          <t>Yes</t>
        </is>
      </c>
      <c r="I9" t="inlineStr">
        <is>
          <t>1</t>
        </is>
      </c>
      <c r="J9" t="inlineStr">
        <is>
          <t>No</t>
        </is>
      </c>
      <c r="K9" t="inlineStr">
        <is>
          <t>No</t>
        </is>
      </c>
      <c r="L9" t="inlineStr">
        <is>
          <t>0</t>
        </is>
      </c>
      <c r="M9" t="inlineStr">
        <is>
          <t>American Diabetes Association. Committee on Professional Education.</t>
        </is>
      </c>
      <c r="O9" t="inlineStr">
        <is>
          <t>1964</t>
        </is>
      </c>
      <c r="Q9" t="inlineStr">
        <is>
          <t>eng</t>
        </is>
      </c>
      <c r="R9" t="inlineStr">
        <is>
          <t>nyu</t>
        </is>
      </c>
      <c r="T9" t="inlineStr">
        <is>
          <t xml:space="preserve">W  </t>
        </is>
      </c>
      <c r="U9" t="n">
        <v>3</v>
      </c>
      <c r="V9" t="n">
        <v>8</v>
      </c>
      <c r="W9" t="inlineStr">
        <is>
          <t>1998-10-30</t>
        </is>
      </c>
      <c r="X9" t="inlineStr">
        <is>
          <t>1998-10-30</t>
        </is>
      </c>
      <c r="Y9" t="inlineStr">
        <is>
          <t>1987-12-29</t>
        </is>
      </c>
      <c r="Z9" t="inlineStr">
        <is>
          <t>1987-12-29</t>
        </is>
      </c>
      <c r="AA9" t="n">
        <v>98</v>
      </c>
      <c r="AB9" t="n">
        <v>81</v>
      </c>
      <c r="AC9" t="n">
        <v>114</v>
      </c>
      <c r="AD9" t="n">
        <v>1</v>
      </c>
      <c r="AE9" t="n">
        <v>1</v>
      </c>
      <c r="AF9" t="n">
        <v>2</v>
      </c>
      <c r="AG9" t="n">
        <v>3</v>
      </c>
      <c r="AH9" t="n">
        <v>1</v>
      </c>
      <c r="AI9" t="n">
        <v>2</v>
      </c>
      <c r="AJ9" t="n">
        <v>1</v>
      </c>
      <c r="AK9" t="n">
        <v>1</v>
      </c>
      <c r="AL9" t="n">
        <v>1</v>
      </c>
      <c r="AM9" t="n">
        <v>2</v>
      </c>
      <c r="AN9" t="n">
        <v>0</v>
      </c>
      <c r="AO9" t="n">
        <v>0</v>
      </c>
      <c r="AP9" t="n">
        <v>0</v>
      </c>
      <c r="AQ9" t="n">
        <v>0</v>
      </c>
      <c r="AR9" t="inlineStr">
        <is>
          <t>No</t>
        </is>
      </c>
      <c r="AS9" t="inlineStr">
        <is>
          <t>Yes</t>
        </is>
      </c>
      <c r="AT9">
        <f>HYPERLINK("http://catalog.hathitrust.org/Record/008856297","HathiTrust Record")</f>
        <v/>
      </c>
      <c r="AU9">
        <f>HYPERLINK("https://creighton-primo.hosted.exlibrisgroup.com/primo-explore/search?tab=default_tab&amp;search_scope=EVERYTHING&amp;vid=01CRU&amp;lang=en_US&amp;offset=0&amp;query=any,contains,991000984229702656","Catalog Record")</f>
        <v/>
      </c>
      <c r="AV9">
        <f>HYPERLINK("http://www.worldcat.org/oclc/8193658","WorldCat Record")</f>
        <v/>
      </c>
      <c r="AW9" t="inlineStr">
        <is>
          <t>3857783724:eng</t>
        </is>
      </c>
      <c r="AX9" t="inlineStr">
        <is>
          <t>8193658</t>
        </is>
      </c>
      <c r="AY9" t="inlineStr">
        <is>
          <t>991000984229702656</t>
        </is>
      </c>
      <c r="AZ9" t="inlineStr">
        <is>
          <t>991000984229702656</t>
        </is>
      </c>
      <c r="BA9" t="inlineStr">
        <is>
          <t>2262266660002656</t>
        </is>
      </c>
      <c r="BB9" t="inlineStr">
        <is>
          <t>BOOK</t>
        </is>
      </c>
      <c r="BE9" t="inlineStr">
        <is>
          <t>30001000215444</t>
        </is>
      </c>
      <c r="BF9" t="inlineStr">
        <is>
          <t>893284248</t>
        </is>
      </c>
    </row>
    <row r="10">
      <c r="A10" t="inlineStr">
        <is>
          <t>No</t>
        </is>
      </c>
      <c r="B10" t="inlineStr">
        <is>
          <t>CUHSL</t>
        </is>
      </c>
      <c r="C10" t="inlineStr">
        <is>
          <t>SHELVES</t>
        </is>
      </c>
      <c r="D10" t="inlineStr">
        <is>
          <t>W 1 FR946B 1973</t>
        </is>
      </c>
      <c r="E10" t="inlineStr">
        <is>
          <t>0                      W  0001000FR 946B        1973</t>
        </is>
      </c>
      <c r="F10" t="inlineStr">
        <is>
          <t>Frontiers in neuroendocrinology, 1973 / edited by William F. Ganong and Luciano Martini.</t>
        </is>
      </c>
      <c r="H10" t="inlineStr">
        <is>
          <t>No</t>
        </is>
      </c>
      <c r="I10" t="inlineStr">
        <is>
          <t>1</t>
        </is>
      </c>
      <c r="J10" t="inlineStr">
        <is>
          <t>No</t>
        </is>
      </c>
      <c r="K10" t="inlineStr">
        <is>
          <t>No</t>
        </is>
      </c>
      <c r="L10" t="inlineStr">
        <is>
          <t>0</t>
        </is>
      </c>
      <c r="N10" t="inlineStr">
        <is>
          <t>New York ; London : Oxford U.P., c1973.</t>
        </is>
      </c>
      <c r="O10" t="inlineStr">
        <is>
          <t>1973</t>
        </is>
      </c>
      <c r="Q10" t="inlineStr">
        <is>
          <t>eng</t>
        </is>
      </c>
      <c r="R10" t="inlineStr">
        <is>
          <t>nyu</t>
        </is>
      </c>
      <c r="T10" t="inlineStr">
        <is>
          <t xml:space="preserve">W  </t>
        </is>
      </c>
      <c r="U10" t="n">
        <v>9</v>
      </c>
      <c r="V10" t="n">
        <v>9</v>
      </c>
      <c r="W10" t="inlineStr">
        <is>
          <t>1993-08-20</t>
        </is>
      </c>
      <c r="X10" t="inlineStr">
        <is>
          <t>1993-08-20</t>
        </is>
      </c>
      <c r="Y10" t="inlineStr">
        <is>
          <t>1989-06-14</t>
        </is>
      </c>
      <c r="Z10" t="inlineStr">
        <is>
          <t>1989-06-14</t>
        </is>
      </c>
      <c r="AA10" t="n">
        <v>11</v>
      </c>
      <c r="AB10" t="n">
        <v>5</v>
      </c>
      <c r="AC10" t="n">
        <v>6</v>
      </c>
      <c r="AD10" t="n">
        <v>1</v>
      </c>
      <c r="AE10" t="n">
        <v>1</v>
      </c>
      <c r="AF10" t="n">
        <v>0</v>
      </c>
      <c r="AG10" t="n">
        <v>0</v>
      </c>
      <c r="AH10" t="n">
        <v>0</v>
      </c>
      <c r="AI10" t="n">
        <v>0</v>
      </c>
      <c r="AJ10" t="n">
        <v>0</v>
      </c>
      <c r="AK10" t="n">
        <v>0</v>
      </c>
      <c r="AL10" t="n">
        <v>0</v>
      </c>
      <c r="AM10" t="n">
        <v>0</v>
      </c>
      <c r="AN10" t="n">
        <v>0</v>
      </c>
      <c r="AO10" t="n">
        <v>0</v>
      </c>
      <c r="AP10" t="n">
        <v>0</v>
      </c>
      <c r="AQ10" t="n">
        <v>0</v>
      </c>
      <c r="AR10" t="inlineStr">
        <is>
          <t>No</t>
        </is>
      </c>
      <c r="AS10" t="inlineStr">
        <is>
          <t>No</t>
        </is>
      </c>
      <c r="AU10">
        <f>HYPERLINK("https://creighton-primo.hosted.exlibrisgroup.com/primo-explore/search?tab=default_tab&amp;search_scope=EVERYTHING&amp;vid=01CRU&amp;lang=en_US&amp;offset=0&amp;query=any,contains,991000984319702656","Catalog Record")</f>
        <v/>
      </c>
      <c r="AV10">
        <f>HYPERLINK("http://www.worldcat.org/oclc/14046989","WorldCat Record")</f>
        <v/>
      </c>
      <c r="AW10" t="inlineStr">
        <is>
          <t>4159953510:eng</t>
        </is>
      </c>
      <c r="AX10" t="inlineStr">
        <is>
          <t>14046989</t>
        </is>
      </c>
      <c r="AY10" t="inlineStr">
        <is>
          <t>991000984319702656</t>
        </is>
      </c>
      <c r="AZ10" t="inlineStr">
        <is>
          <t>991000984319702656</t>
        </is>
      </c>
      <c r="BA10" t="inlineStr">
        <is>
          <t>2259638960002656</t>
        </is>
      </c>
      <c r="BB10" t="inlineStr">
        <is>
          <t>BOOK</t>
        </is>
      </c>
      <c r="BE10" t="inlineStr">
        <is>
          <t>30001000215543</t>
        </is>
      </c>
      <c r="BF10" t="inlineStr">
        <is>
          <t>893455336</t>
        </is>
      </c>
    </row>
    <row r="11">
      <c r="A11" t="inlineStr">
        <is>
          <t>No</t>
        </is>
      </c>
      <c r="B11" t="inlineStr">
        <is>
          <t>CUHSL</t>
        </is>
      </c>
      <c r="C11" t="inlineStr">
        <is>
          <t>SHELVES</t>
        </is>
      </c>
      <c r="D11" t="inlineStr">
        <is>
          <t>W 1 FR946B 1978 v.5</t>
        </is>
      </c>
      <c r="E11" t="inlineStr">
        <is>
          <t>0                      W  0001000FR 946B        1978                                        v.5</t>
        </is>
      </c>
      <c r="F11" t="inlineStr">
        <is>
          <t>Frontiers in neuroendocrinology, 1978 : Volume 5 / edited by William F. Ganong, Luciano Martini.</t>
        </is>
      </c>
      <c r="G11" t="inlineStr">
        <is>
          <t>V. 5</t>
        </is>
      </c>
      <c r="H11" t="inlineStr">
        <is>
          <t>No</t>
        </is>
      </c>
      <c r="I11" t="inlineStr">
        <is>
          <t>1</t>
        </is>
      </c>
      <c r="J11" t="inlineStr">
        <is>
          <t>No</t>
        </is>
      </c>
      <c r="K11" t="inlineStr">
        <is>
          <t>No</t>
        </is>
      </c>
      <c r="L11" t="inlineStr">
        <is>
          <t>0</t>
        </is>
      </c>
      <c r="N11" t="inlineStr">
        <is>
          <t>New York : Raven Press, c1978.</t>
        </is>
      </c>
      <c r="O11" t="inlineStr">
        <is>
          <t>1978</t>
        </is>
      </c>
      <c r="Q11" t="inlineStr">
        <is>
          <t>eng</t>
        </is>
      </c>
      <c r="R11" t="inlineStr">
        <is>
          <t>nyu</t>
        </is>
      </c>
      <c r="T11" t="inlineStr">
        <is>
          <t xml:space="preserve">W  </t>
        </is>
      </c>
      <c r="U11" t="n">
        <v>2</v>
      </c>
      <c r="V11" t="n">
        <v>2</v>
      </c>
      <c r="W11" t="inlineStr">
        <is>
          <t>2004-11-10</t>
        </is>
      </c>
      <c r="X11" t="inlineStr">
        <is>
          <t>2004-11-10</t>
        </is>
      </c>
      <c r="Y11" t="inlineStr">
        <is>
          <t>1989-06-13</t>
        </is>
      </c>
      <c r="Z11" t="inlineStr">
        <is>
          <t>1989-06-13</t>
        </is>
      </c>
      <c r="AA11" t="n">
        <v>11</v>
      </c>
      <c r="AB11" t="n">
        <v>5</v>
      </c>
      <c r="AC11" t="n">
        <v>5</v>
      </c>
      <c r="AD11" t="n">
        <v>1</v>
      </c>
      <c r="AE11" t="n">
        <v>1</v>
      </c>
      <c r="AF11" t="n">
        <v>0</v>
      </c>
      <c r="AG11" t="n">
        <v>0</v>
      </c>
      <c r="AH11" t="n">
        <v>0</v>
      </c>
      <c r="AI11" t="n">
        <v>0</v>
      </c>
      <c r="AJ11" t="n">
        <v>0</v>
      </c>
      <c r="AK11" t="n">
        <v>0</v>
      </c>
      <c r="AL11" t="n">
        <v>0</v>
      </c>
      <c r="AM11" t="n">
        <v>0</v>
      </c>
      <c r="AN11" t="n">
        <v>0</v>
      </c>
      <c r="AO11" t="n">
        <v>0</v>
      </c>
      <c r="AP11" t="n">
        <v>0</v>
      </c>
      <c r="AQ11" t="n">
        <v>0</v>
      </c>
      <c r="AR11" t="inlineStr">
        <is>
          <t>No</t>
        </is>
      </c>
      <c r="AS11" t="inlineStr">
        <is>
          <t>No</t>
        </is>
      </c>
      <c r="AU11">
        <f>HYPERLINK("https://creighton-primo.hosted.exlibrisgroup.com/primo-explore/search?tab=default_tab&amp;search_scope=EVERYTHING&amp;vid=01CRU&amp;lang=en_US&amp;offset=0&amp;query=any,contains,991000984409702656","Catalog Record")</f>
        <v/>
      </c>
      <c r="AV11">
        <f>HYPERLINK("http://www.worldcat.org/oclc/10773376","WorldCat Record")</f>
        <v/>
      </c>
      <c r="AW11" t="inlineStr">
        <is>
          <t>10252258481:eng</t>
        </is>
      </c>
      <c r="AX11" t="inlineStr">
        <is>
          <t>10773376</t>
        </is>
      </c>
      <c r="AY11" t="inlineStr">
        <is>
          <t>991000984409702656</t>
        </is>
      </c>
      <c r="AZ11" t="inlineStr">
        <is>
          <t>991000984409702656</t>
        </is>
      </c>
      <c r="BA11" t="inlineStr">
        <is>
          <t>2267168610002656</t>
        </is>
      </c>
      <c r="BB11" t="inlineStr">
        <is>
          <t>BOOK</t>
        </is>
      </c>
      <c r="BD11" t="inlineStr">
        <is>
          <t>9780890041352</t>
        </is>
      </c>
      <c r="BE11" t="inlineStr">
        <is>
          <t>30001000215576</t>
        </is>
      </c>
      <c r="BF11" t="inlineStr">
        <is>
          <t>893540882</t>
        </is>
      </c>
    </row>
    <row r="12">
      <c r="A12" t="inlineStr">
        <is>
          <t>No</t>
        </is>
      </c>
      <c r="B12" t="inlineStr">
        <is>
          <t>CUHSL</t>
        </is>
      </c>
      <c r="C12" t="inlineStr">
        <is>
          <t>SHELVES</t>
        </is>
      </c>
      <c r="D12" t="inlineStr">
        <is>
          <t>W 1 FR946d 1970 v.18</t>
        </is>
      </c>
      <c r="E12" t="inlineStr">
        <is>
          <t>0                      W  0001000FR 946d        1970                                        v.18</t>
        </is>
      </c>
      <c r="F12" t="inlineStr">
        <is>
          <t>The transmission of passive immunity from mother to young / by F.W. Rogers Brambell.</t>
        </is>
      </c>
      <c r="G12" t="inlineStr">
        <is>
          <t>V. 18</t>
        </is>
      </c>
      <c r="H12" t="inlineStr">
        <is>
          <t>No</t>
        </is>
      </c>
      <c r="I12" t="inlineStr">
        <is>
          <t>1</t>
        </is>
      </c>
      <c r="J12" t="inlineStr">
        <is>
          <t>No</t>
        </is>
      </c>
      <c r="K12" t="inlineStr">
        <is>
          <t>No</t>
        </is>
      </c>
      <c r="L12" t="inlineStr">
        <is>
          <t>0</t>
        </is>
      </c>
      <c r="M12" t="inlineStr">
        <is>
          <t>Brambell, F. W. Rogers (Francis William Rogers)</t>
        </is>
      </c>
      <c r="N12" t="inlineStr">
        <is>
          <t>Amsterdam : North-Holland Pub. Co.; New York : American Elsevier, 1970.</t>
        </is>
      </c>
      <c r="O12" t="inlineStr">
        <is>
          <t>1970</t>
        </is>
      </c>
      <c r="Q12" t="inlineStr">
        <is>
          <t>eng</t>
        </is>
      </c>
      <c r="R12" t="inlineStr">
        <is>
          <t xml:space="preserve">ne </t>
        </is>
      </c>
      <c r="S12" t="inlineStr">
        <is>
          <t>Frontiers of biology (Amsterdam), v. 18.</t>
        </is>
      </c>
      <c r="T12" t="inlineStr">
        <is>
          <t xml:space="preserve">W  </t>
        </is>
      </c>
      <c r="U12" t="n">
        <v>4</v>
      </c>
      <c r="V12" t="n">
        <v>4</v>
      </c>
      <c r="W12" t="inlineStr">
        <is>
          <t>1997-10-06</t>
        </is>
      </c>
      <c r="X12" t="inlineStr">
        <is>
          <t>1997-10-06</t>
        </is>
      </c>
      <c r="Y12" t="inlineStr">
        <is>
          <t>1987-12-30</t>
        </is>
      </c>
      <c r="Z12" t="inlineStr">
        <is>
          <t>1987-12-30</t>
        </is>
      </c>
      <c r="AA12" t="n">
        <v>318</v>
      </c>
      <c r="AB12" t="n">
        <v>208</v>
      </c>
      <c r="AC12" t="n">
        <v>210</v>
      </c>
      <c r="AD12" t="n">
        <v>1</v>
      </c>
      <c r="AE12" t="n">
        <v>1</v>
      </c>
      <c r="AF12" t="n">
        <v>4</v>
      </c>
      <c r="AG12" t="n">
        <v>4</v>
      </c>
      <c r="AH12" t="n">
        <v>1</v>
      </c>
      <c r="AI12" t="n">
        <v>1</v>
      </c>
      <c r="AJ12" t="n">
        <v>2</v>
      </c>
      <c r="AK12" t="n">
        <v>2</v>
      </c>
      <c r="AL12" t="n">
        <v>3</v>
      </c>
      <c r="AM12" t="n">
        <v>3</v>
      </c>
      <c r="AN12" t="n">
        <v>0</v>
      </c>
      <c r="AO12" t="n">
        <v>0</v>
      </c>
      <c r="AP12" t="n">
        <v>0</v>
      </c>
      <c r="AQ12" t="n">
        <v>0</v>
      </c>
      <c r="AR12" t="inlineStr">
        <is>
          <t>No</t>
        </is>
      </c>
      <c r="AS12" t="inlineStr">
        <is>
          <t>Yes</t>
        </is>
      </c>
      <c r="AT12">
        <f>HYPERLINK("http://catalog.hathitrust.org/Record/001556591","HathiTrust Record")</f>
        <v/>
      </c>
      <c r="AU12">
        <f>HYPERLINK("https://creighton-primo.hosted.exlibrisgroup.com/primo-explore/search?tab=default_tab&amp;search_scope=EVERYTHING&amp;vid=01CRU&amp;lang=en_US&amp;offset=0&amp;query=any,contains,991000984579702656","Catalog Record")</f>
        <v/>
      </c>
      <c r="AV12">
        <f>HYPERLINK("http://www.worldcat.org/oclc/91883","WorldCat Record")</f>
        <v/>
      </c>
      <c r="AW12" t="inlineStr">
        <is>
          <t>1303791:eng</t>
        </is>
      </c>
      <c r="AX12" t="inlineStr">
        <is>
          <t>91883</t>
        </is>
      </c>
      <c r="AY12" t="inlineStr">
        <is>
          <t>991000984579702656</t>
        </is>
      </c>
      <c r="AZ12" t="inlineStr">
        <is>
          <t>991000984579702656</t>
        </is>
      </c>
      <c r="BA12" t="inlineStr">
        <is>
          <t>2264709200002656</t>
        </is>
      </c>
      <c r="BB12" t="inlineStr">
        <is>
          <t>BOOK</t>
        </is>
      </c>
      <c r="BE12" t="inlineStr">
        <is>
          <t>30001000215618</t>
        </is>
      </c>
      <c r="BF12" t="inlineStr">
        <is>
          <t>893134158</t>
        </is>
      </c>
    </row>
    <row r="13">
      <c r="A13" t="inlineStr">
        <is>
          <t>No</t>
        </is>
      </c>
      <c r="B13" t="inlineStr">
        <is>
          <t>CUHSL</t>
        </is>
      </c>
      <c r="C13" t="inlineStr">
        <is>
          <t>SHELVES</t>
        </is>
      </c>
      <c r="D13" t="inlineStr">
        <is>
          <t>W 1 FR946d 1971 v.20</t>
        </is>
      </c>
      <c r="E13" t="inlineStr">
        <is>
          <t>0                      W  0001000FR 946d        1971                                        v.20</t>
        </is>
      </c>
      <c r="F13" t="inlineStr">
        <is>
          <t>Foetal and neonatal immunology / By J. B. Solomon. Foreword by R.G. White.</t>
        </is>
      </c>
      <c r="G13" t="inlineStr">
        <is>
          <t>V. 20</t>
        </is>
      </c>
      <c r="H13" t="inlineStr">
        <is>
          <t>No</t>
        </is>
      </c>
      <c r="I13" t="inlineStr">
        <is>
          <t>1</t>
        </is>
      </c>
      <c r="J13" t="inlineStr">
        <is>
          <t>No</t>
        </is>
      </c>
      <c r="K13" t="inlineStr">
        <is>
          <t>No</t>
        </is>
      </c>
      <c r="L13" t="inlineStr">
        <is>
          <t>0</t>
        </is>
      </c>
      <c r="M13" t="inlineStr">
        <is>
          <t>Solomon, J. B.</t>
        </is>
      </c>
      <c r="N13" t="inlineStr">
        <is>
          <t>Amsterdam : North-Holland Pub. Co., 1971.</t>
        </is>
      </c>
      <c r="O13" t="inlineStr">
        <is>
          <t>1971</t>
        </is>
      </c>
      <c r="Q13" t="inlineStr">
        <is>
          <t>eng</t>
        </is>
      </c>
      <c r="R13" t="inlineStr">
        <is>
          <t xml:space="preserve">ne </t>
        </is>
      </c>
      <c r="S13" t="inlineStr">
        <is>
          <t>Frontiers of biology ; v. 20</t>
        </is>
      </c>
      <c r="T13" t="inlineStr">
        <is>
          <t xml:space="preserve">W  </t>
        </is>
      </c>
      <c r="U13" t="n">
        <v>1</v>
      </c>
      <c r="V13" t="n">
        <v>1</v>
      </c>
      <c r="W13" t="inlineStr">
        <is>
          <t>1990-07-11</t>
        </is>
      </c>
      <c r="X13" t="inlineStr">
        <is>
          <t>1990-07-11</t>
        </is>
      </c>
      <c r="Y13" t="inlineStr">
        <is>
          <t>1988-01-04</t>
        </is>
      </c>
      <c r="Z13" t="inlineStr">
        <is>
          <t>1988-01-04</t>
        </is>
      </c>
      <c r="AA13" t="n">
        <v>278</v>
      </c>
      <c r="AB13" t="n">
        <v>196</v>
      </c>
      <c r="AC13" t="n">
        <v>211</v>
      </c>
      <c r="AD13" t="n">
        <v>1</v>
      </c>
      <c r="AE13" t="n">
        <v>1</v>
      </c>
      <c r="AF13" t="n">
        <v>4</v>
      </c>
      <c r="AG13" t="n">
        <v>4</v>
      </c>
      <c r="AH13" t="n">
        <v>1</v>
      </c>
      <c r="AI13" t="n">
        <v>1</v>
      </c>
      <c r="AJ13" t="n">
        <v>2</v>
      </c>
      <c r="AK13" t="n">
        <v>2</v>
      </c>
      <c r="AL13" t="n">
        <v>2</v>
      </c>
      <c r="AM13" t="n">
        <v>2</v>
      </c>
      <c r="AN13" t="n">
        <v>0</v>
      </c>
      <c r="AO13" t="n">
        <v>0</v>
      </c>
      <c r="AP13" t="n">
        <v>0</v>
      </c>
      <c r="AQ13" t="n">
        <v>0</v>
      </c>
      <c r="AR13" t="inlineStr">
        <is>
          <t>No</t>
        </is>
      </c>
      <c r="AS13" t="inlineStr">
        <is>
          <t>Yes</t>
        </is>
      </c>
      <c r="AT13">
        <f>HYPERLINK("http://catalog.hathitrust.org/Record/001556598","HathiTrust Record")</f>
        <v/>
      </c>
      <c r="AU13">
        <f>HYPERLINK("https://creighton-primo.hosted.exlibrisgroup.com/primo-explore/search?tab=default_tab&amp;search_scope=EVERYTHING&amp;vid=01CRU&amp;lang=en_US&amp;offset=0&amp;query=any,contains,991000984619702656","Catalog Record")</f>
        <v/>
      </c>
      <c r="AV13">
        <f>HYPERLINK("http://www.worldcat.org/oclc/146784","WorldCat Record")</f>
        <v/>
      </c>
      <c r="AW13" t="inlineStr">
        <is>
          <t>1327544:eng</t>
        </is>
      </c>
      <c r="AX13" t="inlineStr">
        <is>
          <t>146784</t>
        </is>
      </c>
      <c r="AY13" t="inlineStr">
        <is>
          <t>991000984619702656</t>
        </is>
      </c>
      <c r="AZ13" t="inlineStr">
        <is>
          <t>991000984619702656</t>
        </is>
      </c>
      <c r="BA13" t="inlineStr">
        <is>
          <t>2258717390002656</t>
        </is>
      </c>
      <c r="BB13" t="inlineStr">
        <is>
          <t>BOOK</t>
        </is>
      </c>
      <c r="BD13" t="inlineStr">
        <is>
          <t>9780444100696</t>
        </is>
      </c>
      <c r="BE13" t="inlineStr">
        <is>
          <t>30001000215626</t>
        </is>
      </c>
      <c r="BF13" t="inlineStr">
        <is>
          <t>893632629</t>
        </is>
      </c>
    </row>
    <row r="14">
      <c r="A14" t="inlineStr">
        <is>
          <t>No</t>
        </is>
      </c>
      <c r="B14" t="inlineStr">
        <is>
          <t>CUHSL</t>
        </is>
      </c>
      <c r="C14" t="inlineStr">
        <is>
          <t>SHELVES</t>
        </is>
      </c>
      <c r="D14" t="inlineStr">
        <is>
          <t>W 1 FR946d 1973 v.28</t>
        </is>
      </c>
      <c r="E14" t="inlineStr">
        <is>
          <t>0                      W  0001000FR 946d        1973                                        v.28</t>
        </is>
      </c>
      <c r="F14" t="inlineStr">
        <is>
          <t>Immediate hypersensitivity : the molecular basis of the allergic response / D. R. Stanworth.</t>
        </is>
      </c>
      <c r="G14" t="inlineStr">
        <is>
          <t>V. 28</t>
        </is>
      </c>
      <c r="H14" t="inlineStr">
        <is>
          <t>No</t>
        </is>
      </c>
      <c r="I14" t="inlineStr">
        <is>
          <t>1</t>
        </is>
      </c>
      <c r="J14" t="inlineStr">
        <is>
          <t>No</t>
        </is>
      </c>
      <c r="K14" t="inlineStr">
        <is>
          <t>No</t>
        </is>
      </c>
      <c r="L14" t="inlineStr">
        <is>
          <t>0</t>
        </is>
      </c>
      <c r="M14" t="inlineStr">
        <is>
          <t>Stanworth, D. R.</t>
        </is>
      </c>
      <c r="N14" t="inlineStr">
        <is>
          <t>Amsterdam : North-Holland Pub. Co.; New York : American Elsevier Pub. Co., 1973.</t>
        </is>
      </c>
      <c r="O14" t="inlineStr">
        <is>
          <t>1973</t>
        </is>
      </c>
      <c r="Q14" t="inlineStr">
        <is>
          <t>eng</t>
        </is>
      </c>
      <c r="R14" t="inlineStr">
        <is>
          <t xml:space="preserve">ne </t>
        </is>
      </c>
      <c r="S14" t="inlineStr">
        <is>
          <t>Frontiers of biology ; v. 28</t>
        </is>
      </c>
      <c r="T14" t="inlineStr">
        <is>
          <t xml:space="preserve">W  </t>
        </is>
      </c>
      <c r="U14" t="n">
        <v>1</v>
      </c>
      <c r="V14" t="n">
        <v>1</v>
      </c>
      <c r="W14" t="inlineStr">
        <is>
          <t>1997-10-11</t>
        </is>
      </c>
      <c r="X14" t="inlineStr">
        <is>
          <t>1997-10-11</t>
        </is>
      </c>
      <c r="Y14" t="inlineStr">
        <is>
          <t>1988-08-24</t>
        </is>
      </c>
      <c r="Z14" t="inlineStr">
        <is>
          <t>1988-08-24</t>
        </is>
      </c>
      <c r="AA14" t="n">
        <v>240</v>
      </c>
      <c r="AB14" t="n">
        <v>159</v>
      </c>
      <c r="AC14" t="n">
        <v>161</v>
      </c>
      <c r="AD14" t="n">
        <v>2</v>
      </c>
      <c r="AE14" t="n">
        <v>2</v>
      </c>
      <c r="AF14" t="n">
        <v>5</v>
      </c>
      <c r="AG14" t="n">
        <v>5</v>
      </c>
      <c r="AH14" t="n">
        <v>0</v>
      </c>
      <c r="AI14" t="n">
        <v>0</v>
      </c>
      <c r="AJ14" t="n">
        <v>2</v>
      </c>
      <c r="AK14" t="n">
        <v>2</v>
      </c>
      <c r="AL14" t="n">
        <v>3</v>
      </c>
      <c r="AM14" t="n">
        <v>3</v>
      </c>
      <c r="AN14" t="n">
        <v>1</v>
      </c>
      <c r="AO14" t="n">
        <v>1</v>
      </c>
      <c r="AP14" t="n">
        <v>0</v>
      </c>
      <c r="AQ14" t="n">
        <v>0</v>
      </c>
      <c r="AR14" t="inlineStr">
        <is>
          <t>No</t>
        </is>
      </c>
      <c r="AS14" t="inlineStr">
        <is>
          <t>Yes</t>
        </is>
      </c>
      <c r="AT14">
        <f>HYPERLINK("http://catalog.hathitrust.org/Record/001565483","HathiTrust Record")</f>
        <v/>
      </c>
      <c r="AU14">
        <f>HYPERLINK("https://creighton-primo.hosted.exlibrisgroup.com/primo-explore/search?tab=default_tab&amp;search_scope=EVERYTHING&amp;vid=01CRU&amp;lang=en_US&amp;offset=0&amp;query=any,contains,991000984679702656","Catalog Record")</f>
        <v/>
      </c>
      <c r="AV14">
        <f>HYPERLINK("http://www.worldcat.org/oclc/790123","WorldCat Record")</f>
        <v/>
      </c>
      <c r="AW14" t="inlineStr">
        <is>
          <t>796145426:eng</t>
        </is>
      </c>
      <c r="AX14" t="inlineStr">
        <is>
          <t>790123</t>
        </is>
      </c>
      <c r="AY14" t="inlineStr">
        <is>
          <t>991000984679702656</t>
        </is>
      </c>
      <c r="AZ14" t="inlineStr">
        <is>
          <t>991000984679702656</t>
        </is>
      </c>
      <c r="BA14" t="inlineStr">
        <is>
          <t>2255207780002656</t>
        </is>
      </c>
      <c r="BB14" t="inlineStr">
        <is>
          <t>BOOK</t>
        </is>
      </c>
      <c r="BD14" t="inlineStr">
        <is>
          <t>9780444104441</t>
        </is>
      </c>
      <c r="BE14" t="inlineStr">
        <is>
          <t>30001000215659</t>
        </is>
      </c>
      <c r="BF14" t="inlineStr">
        <is>
          <t>893278574</t>
        </is>
      </c>
    </row>
    <row r="15">
      <c r="A15" t="inlineStr">
        <is>
          <t>No</t>
        </is>
      </c>
      <c r="B15" t="inlineStr">
        <is>
          <t>CUHSL</t>
        </is>
      </c>
      <c r="C15" t="inlineStr">
        <is>
          <t>SHELVES</t>
        </is>
      </c>
      <c r="D15" t="inlineStr">
        <is>
          <t>W 1 ME64 1967 v.8</t>
        </is>
      </c>
      <c r="E15" t="inlineStr">
        <is>
          <t>0                      W  0001000ME 64          1967                                        v.8</t>
        </is>
      </c>
      <c r="F15" t="inlineStr">
        <is>
          <t>Prostaglandins / U.S. von Euler and Rune Eliasson.</t>
        </is>
      </c>
      <c r="G15" t="inlineStr">
        <is>
          <t>V. 8</t>
        </is>
      </c>
      <c r="H15" t="inlineStr">
        <is>
          <t>No</t>
        </is>
      </c>
      <c r="I15" t="inlineStr">
        <is>
          <t>1</t>
        </is>
      </c>
      <c r="J15" t="inlineStr">
        <is>
          <t>No</t>
        </is>
      </c>
      <c r="K15" t="inlineStr">
        <is>
          <t>No</t>
        </is>
      </c>
      <c r="L15" t="inlineStr">
        <is>
          <t>0</t>
        </is>
      </c>
      <c r="M15" t="inlineStr">
        <is>
          <t>Euler, Ulf S. von (Ulf Svante), 1905-1983.</t>
        </is>
      </c>
      <c r="N15" t="inlineStr">
        <is>
          <t>New York : Academic Press, c1967.</t>
        </is>
      </c>
      <c r="O15" t="inlineStr">
        <is>
          <t>1967</t>
        </is>
      </c>
      <c r="Q15" t="inlineStr">
        <is>
          <t>eng</t>
        </is>
      </c>
      <c r="R15" t="inlineStr">
        <is>
          <t>nyu</t>
        </is>
      </c>
      <c r="S15" t="inlineStr">
        <is>
          <t>Medicinal chemistry ; v. 8</t>
        </is>
      </c>
      <c r="T15" t="inlineStr">
        <is>
          <t xml:space="preserve">W  </t>
        </is>
      </c>
      <c r="U15" t="n">
        <v>1</v>
      </c>
      <c r="V15" t="n">
        <v>1</v>
      </c>
      <c r="W15" t="inlineStr">
        <is>
          <t>2002-06-17</t>
        </is>
      </c>
      <c r="X15" t="inlineStr">
        <is>
          <t>2002-06-17</t>
        </is>
      </c>
      <c r="Y15" t="inlineStr">
        <is>
          <t>1989-06-13</t>
        </is>
      </c>
      <c r="Z15" t="inlineStr">
        <is>
          <t>1989-06-13</t>
        </is>
      </c>
      <c r="AA15" t="n">
        <v>286</v>
      </c>
      <c r="AB15" t="n">
        <v>197</v>
      </c>
      <c r="AC15" t="n">
        <v>205</v>
      </c>
      <c r="AD15" t="n">
        <v>2</v>
      </c>
      <c r="AE15" t="n">
        <v>2</v>
      </c>
      <c r="AF15" t="n">
        <v>5</v>
      </c>
      <c r="AG15" t="n">
        <v>5</v>
      </c>
      <c r="AH15" t="n">
        <v>2</v>
      </c>
      <c r="AI15" t="n">
        <v>2</v>
      </c>
      <c r="AJ15" t="n">
        <v>1</v>
      </c>
      <c r="AK15" t="n">
        <v>1</v>
      </c>
      <c r="AL15" t="n">
        <v>1</v>
      </c>
      <c r="AM15" t="n">
        <v>1</v>
      </c>
      <c r="AN15" t="n">
        <v>1</v>
      </c>
      <c r="AO15" t="n">
        <v>1</v>
      </c>
      <c r="AP15" t="n">
        <v>0</v>
      </c>
      <c r="AQ15" t="n">
        <v>0</v>
      </c>
      <c r="AR15" t="inlineStr">
        <is>
          <t>No</t>
        </is>
      </c>
      <c r="AS15" t="inlineStr">
        <is>
          <t>Yes</t>
        </is>
      </c>
      <c r="AT15">
        <f>HYPERLINK("http://catalog.hathitrust.org/Record/001555816","HathiTrust Record")</f>
        <v/>
      </c>
      <c r="AU15">
        <f>HYPERLINK("https://creighton-primo.hosted.exlibrisgroup.com/primo-explore/search?tab=default_tab&amp;search_scope=EVERYTHING&amp;vid=01CRU&amp;lang=en_US&amp;offset=0&amp;query=any,contains,991000984819702656","Catalog Record")</f>
        <v/>
      </c>
      <c r="AV15">
        <f>HYPERLINK("http://www.worldcat.org/oclc/570036","WorldCat Record")</f>
        <v/>
      </c>
      <c r="AW15" t="inlineStr">
        <is>
          <t>1668053:eng</t>
        </is>
      </c>
      <c r="AX15" t="inlineStr">
        <is>
          <t>570036</t>
        </is>
      </c>
      <c r="AY15" t="inlineStr">
        <is>
          <t>991000984819702656</t>
        </is>
      </c>
      <c r="AZ15" t="inlineStr">
        <is>
          <t>991000984819702656</t>
        </is>
      </c>
      <c r="BA15" t="inlineStr">
        <is>
          <t>2269606780002656</t>
        </is>
      </c>
      <c r="BB15" t="inlineStr">
        <is>
          <t>BOOK</t>
        </is>
      </c>
      <c r="BE15" t="inlineStr">
        <is>
          <t>30001000215949</t>
        </is>
      </c>
      <c r="BF15" t="inlineStr">
        <is>
          <t>893467754</t>
        </is>
      </c>
    </row>
    <row r="16">
      <c r="A16" t="inlineStr">
        <is>
          <t>No</t>
        </is>
      </c>
      <c r="B16" t="inlineStr">
        <is>
          <t>CUHSL</t>
        </is>
      </c>
      <c r="C16" t="inlineStr">
        <is>
          <t>SHELVES</t>
        </is>
      </c>
      <c r="D16" t="inlineStr">
        <is>
          <t>W 1 PR668E v.14 1977</t>
        </is>
      </c>
      <c r="E16" t="inlineStr">
        <is>
          <t>0                      W  0001000PR 668E                                                    v.14 1977</t>
        </is>
      </c>
      <c r="F16" t="inlineStr">
        <is>
          <t>Zinc metabolism : current aspects in health and disease : proceedings of a symposium / sponsored by Meyer Laboratories Institute of Research, Fort Lauderdale, Florida, November 11-12, 1976 ; editors, George J. Brewer, Ananda S. Prasad.</t>
        </is>
      </c>
      <c r="G16" t="inlineStr">
        <is>
          <t>V.14 1977</t>
        </is>
      </c>
      <c r="H16" t="inlineStr">
        <is>
          <t>No</t>
        </is>
      </c>
      <c r="I16" t="inlineStr">
        <is>
          <t>1</t>
        </is>
      </c>
      <c r="J16" t="inlineStr">
        <is>
          <t>No</t>
        </is>
      </c>
      <c r="K16" t="inlineStr">
        <is>
          <t>No</t>
        </is>
      </c>
      <c r="L16" t="inlineStr">
        <is>
          <t>0</t>
        </is>
      </c>
      <c r="N16" t="inlineStr">
        <is>
          <t>New York : Liss, 1977.</t>
        </is>
      </c>
      <c r="O16" t="inlineStr">
        <is>
          <t>1977</t>
        </is>
      </c>
      <c r="Q16" t="inlineStr">
        <is>
          <t>eng</t>
        </is>
      </c>
      <c r="R16" t="inlineStr">
        <is>
          <t>nyu</t>
        </is>
      </c>
      <c r="S16" t="inlineStr">
        <is>
          <t>Progress in clinical and biological research ; 14</t>
        </is>
      </c>
      <c r="T16" t="inlineStr">
        <is>
          <t xml:space="preserve">W  </t>
        </is>
      </c>
      <c r="U16" t="n">
        <v>1</v>
      </c>
      <c r="V16" t="n">
        <v>1</v>
      </c>
      <c r="W16" t="inlineStr">
        <is>
          <t>1998-04-29</t>
        </is>
      </c>
      <c r="X16" t="inlineStr">
        <is>
          <t>1998-04-29</t>
        </is>
      </c>
      <c r="Y16" t="inlineStr">
        <is>
          <t>1987-12-28</t>
        </is>
      </c>
      <c r="Z16" t="inlineStr">
        <is>
          <t>1987-12-28</t>
        </is>
      </c>
      <c r="AA16" t="n">
        <v>170</v>
      </c>
      <c r="AB16" t="n">
        <v>134</v>
      </c>
      <c r="AC16" t="n">
        <v>134</v>
      </c>
      <c r="AD16" t="n">
        <v>3</v>
      </c>
      <c r="AE16" t="n">
        <v>3</v>
      </c>
      <c r="AF16" t="n">
        <v>4</v>
      </c>
      <c r="AG16" t="n">
        <v>4</v>
      </c>
      <c r="AH16" t="n">
        <v>1</v>
      </c>
      <c r="AI16" t="n">
        <v>1</v>
      </c>
      <c r="AJ16" t="n">
        <v>1</v>
      </c>
      <c r="AK16" t="n">
        <v>1</v>
      </c>
      <c r="AL16" t="n">
        <v>0</v>
      </c>
      <c r="AM16" t="n">
        <v>0</v>
      </c>
      <c r="AN16" t="n">
        <v>2</v>
      </c>
      <c r="AO16" t="n">
        <v>2</v>
      </c>
      <c r="AP16" t="n">
        <v>0</v>
      </c>
      <c r="AQ16" t="n">
        <v>0</v>
      </c>
      <c r="AR16" t="inlineStr">
        <is>
          <t>No</t>
        </is>
      </c>
      <c r="AS16" t="inlineStr">
        <is>
          <t>No</t>
        </is>
      </c>
      <c r="AU16">
        <f>HYPERLINK("https://creighton-primo.hosted.exlibrisgroup.com/primo-explore/search?tab=default_tab&amp;search_scope=EVERYTHING&amp;vid=01CRU&amp;lang=en_US&amp;offset=0&amp;query=any,contains,991000985039702656","Catalog Record")</f>
        <v/>
      </c>
      <c r="AV16">
        <f>HYPERLINK("http://www.worldcat.org/oclc/2837122","WorldCat Record")</f>
        <v/>
      </c>
      <c r="AW16" t="inlineStr">
        <is>
          <t>807498757:eng</t>
        </is>
      </c>
      <c r="AX16" t="inlineStr">
        <is>
          <t>2837122</t>
        </is>
      </c>
      <c r="AY16" t="inlineStr">
        <is>
          <t>991000985039702656</t>
        </is>
      </c>
      <c r="AZ16" t="inlineStr">
        <is>
          <t>991000985039702656</t>
        </is>
      </c>
      <c r="BA16" t="inlineStr">
        <is>
          <t>2262182810002656</t>
        </is>
      </c>
      <c r="BB16" t="inlineStr">
        <is>
          <t>BOOK</t>
        </is>
      </c>
      <c r="BD16" t="inlineStr">
        <is>
          <t>9780845100141</t>
        </is>
      </c>
      <c r="BE16" t="inlineStr">
        <is>
          <t>30001000216723</t>
        </is>
      </c>
      <c r="BF16" t="inlineStr">
        <is>
          <t>893369000</t>
        </is>
      </c>
    </row>
    <row r="17">
      <c r="A17" t="inlineStr">
        <is>
          <t>No</t>
        </is>
      </c>
      <c r="B17" t="inlineStr">
        <is>
          <t>CUHSL</t>
        </is>
      </c>
      <c r="C17" t="inlineStr">
        <is>
          <t>SHELVES</t>
        </is>
      </c>
      <c r="D17" t="inlineStr">
        <is>
          <t>W 1 PR668E v.38 1980</t>
        </is>
      </c>
      <c r="E17" t="inlineStr">
        <is>
          <t>0                      W  0001000PR 668E                                                    v.38 1980</t>
        </is>
      </c>
      <c r="F17" t="inlineStr">
        <is>
          <t>Ethics, humanism, and medicine : proceedings of three conferences sponsored by the Committee on Ethics, Humanism, and Medicine at the University of Michigan, 1978-1979 / Marc D. Basson, editor.</t>
        </is>
      </c>
      <c r="G17" t="inlineStr">
        <is>
          <t>V.38 1980</t>
        </is>
      </c>
      <c r="H17" t="inlineStr">
        <is>
          <t>No</t>
        </is>
      </c>
      <c r="I17" t="inlineStr">
        <is>
          <t>1</t>
        </is>
      </c>
      <c r="J17" t="inlineStr">
        <is>
          <t>No</t>
        </is>
      </c>
      <c r="K17" t="inlineStr">
        <is>
          <t>No</t>
        </is>
      </c>
      <c r="L17" t="inlineStr">
        <is>
          <t>0</t>
        </is>
      </c>
      <c r="M17" t="inlineStr">
        <is>
          <t>Conference on Ethics, Humanism, and Medicine.</t>
        </is>
      </c>
      <c r="N17" t="inlineStr">
        <is>
          <t>New York : Liss, c1980.</t>
        </is>
      </c>
      <c r="O17" t="inlineStr">
        <is>
          <t>1980</t>
        </is>
      </c>
      <c r="Q17" t="inlineStr">
        <is>
          <t>eng</t>
        </is>
      </c>
      <c r="R17" t="inlineStr">
        <is>
          <t>xxu</t>
        </is>
      </c>
      <c r="S17" t="inlineStr">
        <is>
          <t>Progress in clinical and biological research ; v. 38</t>
        </is>
      </c>
      <c r="T17" t="inlineStr">
        <is>
          <t xml:space="preserve">W  </t>
        </is>
      </c>
      <c r="U17" t="n">
        <v>3</v>
      </c>
      <c r="V17" t="n">
        <v>3</v>
      </c>
      <c r="W17" t="inlineStr">
        <is>
          <t>2001-09-15</t>
        </is>
      </c>
      <c r="X17" t="inlineStr">
        <is>
          <t>2001-09-15</t>
        </is>
      </c>
      <c r="Y17" t="inlineStr">
        <is>
          <t>1987-12-28</t>
        </is>
      </c>
      <c r="Z17" t="inlineStr">
        <is>
          <t>1987-12-28</t>
        </is>
      </c>
      <c r="AA17" t="n">
        <v>328</v>
      </c>
      <c r="AB17" t="n">
        <v>277</v>
      </c>
      <c r="AC17" t="n">
        <v>279</v>
      </c>
      <c r="AD17" t="n">
        <v>3</v>
      </c>
      <c r="AE17" t="n">
        <v>3</v>
      </c>
      <c r="AF17" t="n">
        <v>14</v>
      </c>
      <c r="AG17" t="n">
        <v>14</v>
      </c>
      <c r="AH17" t="n">
        <v>6</v>
      </c>
      <c r="AI17" t="n">
        <v>6</v>
      </c>
      <c r="AJ17" t="n">
        <v>2</v>
      </c>
      <c r="AK17" t="n">
        <v>2</v>
      </c>
      <c r="AL17" t="n">
        <v>8</v>
      </c>
      <c r="AM17" t="n">
        <v>8</v>
      </c>
      <c r="AN17" t="n">
        <v>2</v>
      </c>
      <c r="AO17" t="n">
        <v>2</v>
      </c>
      <c r="AP17" t="n">
        <v>1</v>
      </c>
      <c r="AQ17" t="n">
        <v>1</v>
      </c>
      <c r="AR17" t="inlineStr">
        <is>
          <t>No</t>
        </is>
      </c>
      <c r="AS17" t="inlineStr">
        <is>
          <t>Yes</t>
        </is>
      </c>
      <c r="AT17">
        <f>HYPERLINK("http://catalog.hathitrust.org/Record/000690531","HathiTrust Record")</f>
        <v/>
      </c>
      <c r="AU17">
        <f>HYPERLINK("https://creighton-primo.hosted.exlibrisgroup.com/primo-explore/search?tab=default_tab&amp;search_scope=EVERYTHING&amp;vid=01CRU&amp;lang=en_US&amp;offset=0&amp;query=any,contains,991000985119702656","Catalog Record")</f>
        <v/>
      </c>
      <c r="AV17">
        <f>HYPERLINK("http://www.worldcat.org/oclc/5726518","WorldCat Record")</f>
        <v/>
      </c>
      <c r="AW17" t="inlineStr">
        <is>
          <t>9349919953:eng</t>
        </is>
      </c>
      <c r="AX17" t="inlineStr">
        <is>
          <t>5726518</t>
        </is>
      </c>
      <c r="AY17" t="inlineStr">
        <is>
          <t>991000985119702656</t>
        </is>
      </c>
      <c r="AZ17" t="inlineStr">
        <is>
          <t>991000985119702656</t>
        </is>
      </c>
      <c r="BA17" t="inlineStr">
        <is>
          <t>2267577340002656</t>
        </is>
      </c>
      <c r="BB17" t="inlineStr">
        <is>
          <t>BOOK</t>
        </is>
      </c>
      <c r="BD17" t="inlineStr">
        <is>
          <t>9780845100387</t>
        </is>
      </c>
      <c r="BE17" t="inlineStr">
        <is>
          <t>30001000216749</t>
        </is>
      </c>
      <c r="BF17" t="inlineStr">
        <is>
          <t>893815981</t>
        </is>
      </c>
    </row>
    <row r="18">
      <c r="A18" t="inlineStr">
        <is>
          <t>No</t>
        </is>
      </c>
      <c r="B18" t="inlineStr">
        <is>
          <t>CUHSL</t>
        </is>
      </c>
      <c r="C18" t="inlineStr">
        <is>
          <t>SHELVES</t>
        </is>
      </c>
      <c r="D18" t="inlineStr">
        <is>
          <t>W 1 PR668E v.43 1980</t>
        </is>
      </c>
      <c r="E18" t="inlineStr">
        <is>
          <t>0                      W  0001000PR 668E                                                    v.43 1980</t>
        </is>
      </c>
      <c r="F18" t="inlineStr">
        <is>
          <t>Immunobiology of the erythrocyte / editors, S. Gerald Sandler, Jacob Nusbacher, Moses S. Schanfield.</t>
        </is>
      </c>
      <c r="G18" t="inlineStr">
        <is>
          <t>V.43 1980</t>
        </is>
      </c>
      <c r="H18" t="inlineStr">
        <is>
          <t>No</t>
        </is>
      </c>
      <c r="I18" t="inlineStr">
        <is>
          <t>1</t>
        </is>
      </c>
      <c r="J18" t="inlineStr">
        <is>
          <t>No</t>
        </is>
      </c>
      <c r="K18" t="inlineStr">
        <is>
          <t>No</t>
        </is>
      </c>
      <c r="L18" t="inlineStr">
        <is>
          <t>0</t>
        </is>
      </c>
      <c r="N18" t="inlineStr">
        <is>
          <t>New York : Liss, c1980.</t>
        </is>
      </c>
      <c r="O18" t="inlineStr">
        <is>
          <t>1980</t>
        </is>
      </c>
      <c r="Q18" t="inlineStr">
        <is>
          <t>eng</t>
        </is>
      </c>
      <c r="R18" t="inlineStr">
        <is>
          <t>xxu</t>
        </is>
      </c>
      <c r="S18" t="inlineStr">
        <is>
          <t>Progress in clinical and biological research ; v. 43</t>
        </is>
      </c>
      <c r="T18" t="inlineStr">
        <is>
          <t xml:space="preserve">W  </t>
        </is>
      </c>
      <c r="U18" t="n">
        <v>1</v>
      </c>
      <c r="V18" t="n">
        <v>1</v>
      </c>
      <c r="W18" t="inlineStr">
        <is>
          <t>2000-09-18</t>
        </is>
      </c>
      <c r="X18" t="inlineStr">
        <is>
          <t>2000-09-18</t>
        </is>
      </c>
      <c r="Y18" t="inlineStr">
        <is>
          <t>1987-12-28</t>
        </is>
      </c>
      <c r="Z18" t="inlineStr">
        <is>
          <t>1987-12-28</t>
        </is>
      </c>
      <c r="AA18" t="n">
        <v>152</v>
      </c>
      <c r="AB18" t="n">
        <v>121</v>
      </c>
      <c r="AC18" t="n">
        <v>123</v>
      </c>
      <c r="AD18" t="n">
        <v>3</v>
      </c>
      <c r="AE18" t="n">
        <v>3</v>
      </c>
      <c r="AF18" t="n">
        <v>6</v>
      </c>
      <c r="AG18" t="n">
        <v>6</v>
      </c>
      <c r="AH18" t="n">
        <v>3</v>
      </c>
      <c r="AI18" t="n">
        <v>3</v>
      </c>
      <c r="AJ18" t="n">
        <v>1</v>
      </c>
      <c r="AK18" t="n">
        <v>1</v>
      </c>
      <c r="AL18" t="n">
        <v>2</v>
      </c>
      <c r="AM18" t="n">
        <v>2</v>
      </c>
      <c r="AN18" t="n">
        <v>2</v>
      </c>
      <c r="AO18" t="n">
        <v>2</v>
      </c>
      <c r="AP18" t="n">
        <v>0</v>
      </c>
      <c r="AQ18" t="n">
        <v>0</v>
      </c>
      <c r="AR18" t="inlineStr">
        <is>
          <t>No</t>
        </is>
      </c>
      <c r="AS18" t="inlineStr">
        <is>
          <t>Yes</t>
        </is>
      </c>
      <c r="AT18">
        <f>HYPERLINK("http://catalog.hathitrust.org/Record/000700792","HathiTrust Record")</f>
        <v/>
      </c>
      <c r="AU18">
        <f>HYPERLINK("https://creighton-primo.hosted.exlibrisgroup.com/primo-explore/search?tab=default_tab&amp;search_scope=EVERYTHING&amp;vid=01CRU&amp;lang=en_US&amp;offset=0&amp;query=any,contains,991000985199702656","Catalog Record")</f>
        <v/>
      </c>
      <c r="AV18">
        <f>HYPERLINK("http://www.worldcat.org/oclc/6487928","WorldCat Record")</f>
        <v/>
      </c>
      <c r="AW18" t="inlineStr">
        <is>
          <t>355991861:eng</t>
        </is>
      </c>
      <c r="AX18" t="inlineStr">
        <is>
          <t>6487928</t>
        </is>
      </c>
      <c r="AY18" t="inlineStr">
        <is>
          <t>991000985199702656</t>
        </is>
      </c>
      <c r="AZ18" t="inlineStr">
        <is>
          <t>991000985199702656</t>
        </is>
      </c>
      <c r="BA18" t="inlineStr">
        <is>
          <t>2267548720002656</t>
        </is>
      </c>
      <c r="BB18" t="inlineStr">
        <is>
          <t>BOOK</t>
        </is>
      </c>
      <c r="BD18" t="inlineStr">
        <is>
          <t>9780845100431</t>
        </is>
      </c>
      <c r="BE18" t="inlineStr">
        <is>
          <t>30001000216764</t>
        </is>
      </c>
      <c r="BF18" t="inlineStr">
        <is>
          <t>893637914</t>
        </is>
      </c>
    </row>
    <row r="19">
      <c r="A19" t="inlineStr">
        <is>
          <t>No</t>
        </is>
      </c>
      <c r="B19" t="inlineStr">
        <is>
          <t>CUHSL</t>
        </is>
      </c>
      <c r="C19" t="inlineStr">
        <is>
          <t>SHELVES</t>
        </is>
      </c>
      <c r="D19" t="inlineStr">
        <is>
          <t>W 1 PR668E 1981 v.56</t>
        </is>
      </c>
      <c r="E19" t="inlineStr">
        <is>
          <t>0                      W  0001000PR 668E        1981                                        v.56</t>
        </is>
      </c>
      <c r="F19" t="inlineStr">
        <is>
          <t>Erythrocyte membranes II : recent clinical and experimental advances : proceedings of a workshop held in Ann Arbor, Michigan, September 28, 1980 / editors, Walter C. Kruckeberg, John W. Eaton, George J. Brewer.</t>
        </is>
      </c>
      <c r="G19" t="inlineStr">
        <is>
          <t>V.56 1981</t>
        </is>
      </c>
      <c r="H19" t="inlineStr">
        <is>
          <t>No</t>
        </is>
      </c>
      <c r="I19" t="inlineStr">
        <is>
          <t>1</t>
        </is>
      </c>
      <c r="J19" t="inlineStr">
        <is>
          <t>No</t>
        </is>
      </c>
      <c r="K19" t="inlineStr">
        <is>
          <t>No</t>
        </is>
      </c>
      <c r="L19" t="inlineStr">
        <is>
          <t>0</t>
        </is>
      </c>
      <c r="N19" t="inlineStr">
        <is>
          <t>New York : Liss, c1981.</t>
        </is>
      </c>
      <c r="O19" t="inlineStr">
        <is>
          <t>1981</t>
        </is>
      </c>
      <c r="Q19" t="inlineStr">
        <is>
          <t>eng</t>
        </is>
      </c>
      <c r="R19" t="inlineStr">
        <is>
          <t>xxu</t>
        </is>
      </c>
      <c r="S19" t="inlineStr">
        <is>
          <t>Progress in clinical and biological research ; v. 56</t>
        </is>
      </c>
      <c r="T19" t="inlineStr">
        <is>
          <t xml:space="preserve">W  </t>
        </is>
      </c>
      <c r="U19" t="n">
        <v>1</v>
      </c>
      <c r="V19" t="n">
        <v>1</v>
      </c>
      <c r="W19" t="inlineStr">
        <is>
          <t>2000-09-18</t>
        </is>
      </c>
      <c r="X19" t="inlineStr">
        <is>
          <t>2000-09-18</t>
        </is>
      </c>
      <c r="Y19" t="inlineStr">
        <is>
          <t>1987-12-28</t>
        </is>
      </c>
      <c r="Z19" t="inlineStr">
        <is>
          <t>1987-12-28</t>
        </is>
      </c>
      <c r="AA19" t="n">
        <v>139</v>
      </c>
      <c r="AB19" t="n">
        <v>111</v>
      </c>
      <c r="AC19" t="n">
        <v>114</v>
      </c>
      <c r="AD19" t="n">
        <v>1</v>
      </c>
      <c r="AE19" t="n">
        <v>2</v>
      </c>
      <c r="AF19" t="n">
        <v>2</v>
      </c>
      <c r="AG19" t="n">
        <v>3</v>
      </c>
      <c r="AH19" t="n">
        <v>1</v>
      </c>
      <c r="AI19" t="n">
        <v>1</v>
      </c>
      <c r="AJ19" t="n">
        <v>1</v>
      </c>
      <c r="AK19" t="n">
        <v>1</v>
      </c>
      <c r="AL19" t="n">
        <v>2</v>
      </c>
      <c r="AM19" t="n">
        <v>2</v>
      </c>
      <c r="AN19" t="n">
        <v>0</v>
      </c>
      <c r="AO19" t="n">
        <v>1</v>
      </c>
      <c r="AP19" t="n">
        <v>0</v>
      </c>
      <c r="AQ19" t="n">
        <v>0</v>
      </c>
      <c r="AR19" t="inlineStr">
        <is>
          <t>No</t>
        </is>
      </c>
      <c r="AS19" t="inlineStr">
        <is>
          <t>Yes</t>
        </is>
      </c>
      <c r="AT19">
        <f>HYPERLINK("http://catalog.hathitrust.org/Record/000143245","HathiTrust Record")</f>
        <v/>
      </c>
      <c r="AU19">
        <f>HYPERLINK("https://creighton-primo.hosted.exlibrisgroup.com/primo-explore/search?tab=default_tab&amp;search_scope=EVERYTHING&amp;vid=01CRU&amp;lang=en_US&amp;offset=0&amp;query=any,contains,991000985299702656","Catalog Record")</f>
        <v/>
      </c>
      <c r="AV19">
        <f>HYPERLINK("http://www.worldcat.org/oclc/7328213","WorldCat Record")</f>
        <v/>
      </c>
      <c r="AW19" t="inlineStr">
        <is>
          <t>42825238:eng</t>
        </is>
      </c>
      <c r="AX19" t="inlineStr">
        <is>
          <t>7328213</t>
        </is>
      </c>
      <c r="AY19" t="inlineStr">
        <is>
          <t>991000985299702656</t>
        </is>
      </c>
      <c r="AZ19" t="inlineStr">
        <is>
          <t>991000985299702656</t>
        </is>
      </c>
      <c r="BA19" t="inlineStr">
        <is>
          <t>2256462600002656</t>
        </is>
      </c>
      <c r="BB19" t="inlineStr">
        <is>
          <t>BOOK</t>
        </is>
      </c>
      <c r="BD19" t="inlineStr">
        <is>
          <t>9780845100561</t>
        </is>
      </c>
      <c r="BE19" t="inlineStr">
        <is>
          <t>30001000216780</t>
        </is>
      </c>
      <c r="BF19" t="inlineStr">
        <is>
          <t>893826315</t>
        </is>
      </c>
    </row>
    <row r="20">
      <c r="A20" t="inlineStr">
        <is>
          <t>No</t>
        </is>
      </c>
      <c r="B20" t="inlineStr">
        <is>
          <t>CUHSL</t>
        </is>
      </c>
      <c r="C20" t="inlineStr">
        <is>
          <t>SHELVES</t>
        </is>
      </c>
      <c r="D20" t="inlineStr">
        <is>
          <t>W 1 PR668E 1982 v.128</t>
        </is>
      </c>
      <c r="E20" t="inlineStr">
        <is>
          <t>0                      W  0001000PR 668E        1982                                        v.128</t>
        </is>
      </c>
      <c r="F20" t="inlineStr">
        <is>
          <t>Research ethics / editors, Kåre Berg, Knut Erik Tranøy.</t>
        </is>
      </c>
      <c r="G20" t="inlineStr">
        <is>
          <t>V. 128</t>
        </is>
      </c>
      <c r="H20" t="inlineStr">
        <is>
          <t>No</t>
        </is>
      </c>
      <c r="I20" t="inlineStr">
        <is>
          <t>1</t>
        </is>
      </c>
      <c r="J20" t="inlineStr">
        <is>
          <t>No</t>
        </is>
      </c>
      <c r="K20" t="inlineStr">
        <is>
          <t>No</t>
        </is>
      </c>
      <c r="L20" t="inlineStr">
        <is>
          <t>0</t>
        </is>
      </c>
      <c r="N20" t="inlineStr">
        <is>
          <t>New York : Liss, c1983.</t>
        </is>
      </c>
      <c r="O20" t="inlineStr">
        <is>
          <t>1983</t>
        </is>
      </c>
      <c r="Q20" t="inlineStr">
        <is>
          <t>eng</t>
        </is>
      </c>
      <c r="R20" t="inlineStr">
        <is>
          <t xml:space="preserve">xx </t>
        </is>
      </c>
      <c r="S20" t="inlineStr">
        <is>
          <t>Progress in clinical and biological research ; 128</t>
        </is>
      </c>
      <c r="T20" t="inlineStr">
        <is>
          <t xml:space="preserve">W  </t>
        </is>
      </c>
      <c r="U20" t="n">
        <v>4</v>
      </c>
      <c r="V20" t="n">
        <v>4</v>
      </c>
      <c r="W20" t="inlineStr">
        <is>
          <t>1991-11-15</t>
        </is>
      </c>
      <c r="X20" t="inlineStr">
        <is>
          <t>1991-11-15</t>
        </is>
      </c>
      <c r="Y20" t="inlineStr">
        <is>
          <t>1988-12-21</t>
        </is>
      </c>
      <c r="Z20" t="inlineStr">
        <is>
          <t>1988-12-21</t>
        </is>
      </c>
      <c r="AA20" t="n">
        <v>261</v>
      </c>
      <c r="AB20" t="n">
        <v>211</v>
      </c>
      <c r="AC20" t="n">
        <v>218</v>
      </c>
      <c r="AD20" t="n">
        <v>2</v>
      </c>
      <c r="AE20" t="n">
        <v>2</v>
      </c>
      <c r="AF20" t="n">
        <v>12</v>
      </c>
      <c r="AG20" t="n">
        <v>12</v>
      </c>
      <c r="AH20" t="n">
        <v>2</v>
      </c>
      <c r="AI20" t="n">
        <v>2</v>
      </c>
      <c r="AJ20" t="n">
        <v>4</v>
      </c>
      <c r="AK20" t="n">
        <v>4</v>
      </c>
      <c r="AL20" t="n">
        <v>8</v>
      </c>
      <c r="AM20" t="n">
        <v>8</v>
      </c>
      <c r="AN20" t="n">
        <v>1</v>
      </c>
      <c r="AO20" t="n">
        <v>1</v>
      </c>
      <c r="AP20" t="n">
        <v>1</v>
      </c>
      <c r="AQ20" t="n">
        <v>1</v>
      </c>
      <c r="AR20" t="inlineStr">
        <is>
          <t>No</t>
        </is>
      </c>
      <c r="AS20" t="inlineStr">
        <is>
          <t>Yes</t>
        </is>
      </c>
      <c r="AT20">
        <f>HYPERLINK("http://catalog.hathitrust.org/Record/000158436","HathiTrust Record")</f>
        <v/>
      </c>
      <c r="AU20">
        <f>HYPERLINK("https://creighton-primo.hosted.exlibrisgroup.com/primo-explore/search?tab=default_tab&amp;search_scope=EVERYTHING&amp;vid=01CRU&amp;lang=en_US&amp;offset=0&amp;query=any,contains,991000985429702656","Catalog Record")</f>
        <v/>
      </c>
      <c r="AV20">
        <f>HYPERLINK("http://www.worldcat.org/oclc/9556403","WorldCat Record")</f>
        <v/>
      </c>
      <c r="AW20" t="inlineStr">
        <is>
          <t>890402196:eng</t>
        </is>
      </c>
      <c r="AX20" t="inlineStr">
        <is>
          <t>9556403</t>
        </is>
      </c>
      <c r="AY20" t="inlineStr">
        <is>
          <t>991000985429702656</t>
        </is>
      </c>
      <c r="AZ20" t="inlineStr">
        <is>
          <t>991000985429702656</t>
        </is>
      </c>
      <c r="BA20" t="inlineStr">
        <is>
          <t>2269102450002656</t>
        </is>
      </c>
      <c r="BB20" t="inlineStr">
        <is>
          <t>BOOK</t>
        </is>
      </c>
      <c r="BD20" t="inlineStr">
        <is>
          <t>9780845101285</t>
        </is>
      </c>
      <c r="BE20" t="inlineStr">
        <is>
          <t>30001000216822</t>
        </is>
      </c>
      <c r="BF20" t="inlineStr">
        <is>
          <t>893374165</t>
        </is>
      </c>
    </row>
    <row r="21">
      <c r="A21" t="inlineStr">
        <is>
          <t>No</t>
        </is>
      </c>
      <c r="B21" t="inlineStr">
        <is>
          <t>CUHSL</t>
        </is>
      </c>
      <c r="C21" t="inlineStr">
        <is>
          <t>SHELVES</t>
        </is>
      </c>
      <c r="D21" t="inlineStr">
        <is>
          <t>W 1 PR668E 1985 v.199</t>
        </is>
      </c>
      <c r="E21" t="inlineStr">
        <is>
          <t>0                      W  0001000PR 668E        1985                                        v.199</t>
        </is>
      </c>
      <c r="F21" t="inlineStr">
        <is>
          <t>Leukotrienes in cardiovascular and pulmonary function / 26th Annual A.N. Richards Symposium, Bala Cynwyd, Pennsylvania, May 6-7, 1985 ; editors, Allan M. Lefer and Marlys H. Gee.</t>
        </is>
      </c>
      <c r="G21" t="inlineStr">
        <is>
          <t>V.199</t>
        </is>
      </c>
      <c r="H21" t="inlineStr">
        <is>
          <t>No</t>
        </is>
      </c>
      <c r="I21" t="inlineStr">
        <is>
          <t>1</t>
        </is>
      </c>
      <c r="J21" t="inlineStr">
        <is>
          <t>No</t>
        </is>
      </c>
      <c r="K21" t="inlineStr">
        <is>
          <t>No</t>
        </is>
      </c>
      <c r="L21" t="inlineStr">
        <is>
          <t>0</t>
        </is>
      </c>
      <c r="M21" t="inlineStr">
        <is>
          <t>A.N. Richards Symposium (26th : 1985 : Bala-Cynwyd, Pa.)</t>
        </is>
      </c>
      <c r="N21" t="inlineStr">
        <is>
          <t>New York : Liss, c1985.</t>
        </is>
      </c>
      <c r="O21" t="inlineStr">
        <is>
          <t>1985</t>
        </is>
      </c>
      <c r="Q21" t="inlineStr">
        <is>
          <t>eng</t>
        </is>
      </c>
      <c r="R21" t="inlineStr">
        <is>
          <t>xxu</t>
        </is>
      </c>
      <c r="S21" t="inlineStr">
        <is>
          <t>Progress in clinical and biological research ; vol. 199</t>
        </is>
      </c>
      <c r="T21" t="inlineStr">
        <is>
          <t xml:space="preserve">W  </t>
        </is>
      </c>
      <c r="U21" t="n">
        <v>22</v>
      </c>
      <c r="V21" t="n">
        <v>22</v>
      </c>
      <c r="W21" t="inlineStr">
        <is>
          <t>2009-04-28</t>
        </is>
      </c>
      <c r="X21" t="inlineStr">
        <is>
          <t>2009-04-28</t>
        </is>
      </c>
      <c r="Y21" t="inlineStr">
        <is>
          <t>1987-12-28</t>
        </is>
      </c>
      <c r="Z21" t="inlineStr">
        <is>
          <t>1987-12-28</t>
        </is>
      </c>
      <c r="AA21" t="n">
        <v>172</v>
      </c>
      <c r="AB21" t="n">
        <v>141</v>
      </c>
      <c r="AC21" t="n">
        <v>147</v>
      </c>
      <c r="AD21" t="n">
        <v>1</v>
      </c>
      <c r="AE21" t="n">
        <v>1</v>
      </c>
      <c r="AF21" t="n">
        <v>4</v>
      </c>
      <c r="AG21" t="n">
        <v>4</v>
      </c>
      <c r="AH21" t="n">
        <v>1</v>
      </c>
      <c r="AI21" t="n">
        <v>1</v>
      </c>
      <c r="AJ21" t="n">
        <v>2</v>
      </c>
      <c r="AK21" t="n">
        <v>2</v>
      </c>
      <c r="AL21" t="n">
        <v>3</v>
      </c>
      <c r="AM21" t="n">
        <v>3</v>
      </c>
      <c r="AN21" t="n">
        <v>0</v>
      </c>
      <c r="AO21" t="n">
        <v>0</v>
      </c>
      <c r="AP21" t="n">
        <v>0</v>
      </c>
      <c r="AQ21" t="n">
        <v>0</v>
      </c>
      <c r="AR21" t="inlineStr">
        <is>
          <t>No</t>
        </is>
      </c>
      <c r="AS21" t="inlineStr">
        <is>
          <t>Yes</t>
        </is>
      </c>
      <c r="AT21">
        <f>HYPERLINK("http://catalog.hathitrust.org/Record/000422369","HathiTrust Record")</f>
        <v/>
      </c>
      <c r="AU21">
        <f>HYPERLINK("https://creighton-primo.hosted.exlibrisgroup.com/primo-explore/search?tab=default_tab&amp;search_scope=EVERYTHING&amp;vid=01CRU&amp;lang=en_US&amp;offset=0&amp;query=any,contains,991000985659702656","Catalog Record")</f>
        <v/>
      </c>
      <c r="AV21">
        <f>HYPERLINK("http://www.worldcat.org/oclc/12418619","WorldCat Record")</f>
        <v/>
      </c>
      <c r="AW21" t="inlineStr">
        <is>
          <t>1103248864:eng</t>
        </is>
      </c>
      <c r="AX21" t="inlineStr">
        <is>
          <t>12418619</t>
        </is>
      </c>
      <c r="AY21" t="inlineStr">
        <is>
          <t>991000985659702656</t>
        </is>
      </c>
      <c r="AZ21" t="inlineStr">
        <is>
          <t>991000985659702656</t>
        </is>
      </c>
      <c r="BA21" t="inlineStr">
        <is>
          <t>2269168990002656</t>
        </is>
      </c>
      <c r="BB21" t="inlineStr">
        <is>
          <t>BOOK</t>
        </is>
      </c>
      <c r="BD21" t="inlineStr">
        <is>
          <t>9780845150498</t>
        </is>
      </c>
      <c r="BE21" t="inlineStr">
        <is>
          <t>30001000216863</t>
        </is>
      </c>
      <c r="BF21" t="inlineStr">
        <is>
          <t>893363633</t>
        </is>
      </c>
    </row>
    <row r="22">
      <c r="A22" t="inlineStr">
        <is>
          <t>No</t>
        </is>
      </c>
      <c r="B22" t="inlineStr">
        <is>
          <t>CUHSL</t>
        </is>
      </c>
      <c r="C22" t="inlineStr">
        <is>
          <t>SHELVES</t>
        </is>
      </c>
      <c r="D22" t="inlineStr">
        <is>
          <t>W 1 PR668E 1986 v.237</t>
        </is>
      </c>
      <c r="E22" t="inlineStr">
        <is>
          <t>0                      W  0001000PR 668E        1986                                        v.237</t>
        </is>
      </c>
      <c r="F22" t="inlineStr">
        <is>
          <t>The Use of transrectal ultrasound in the diagnosis and management of prostate cancer : proceedings of an international symposium held in Detroit, Michigan, September 11-12, 1986 / editor, Fred Lee, Richard D. Mc Leary.</t>
        </is>
      </c>
      <c r="G22" t="inlineStr">
        <is>
          <t>V.237</t>
        </is>
      </c>
      <c r="H22" t="inlineStr">
        <is>
          <t>No</t>
        </is>
      </c>
      <c r="I22" t="inlineStr">
        <is>
          <t>1</t>
        </is>
      </c>
      <c r="J22" t="inlineStr">
        <is>
          <t>No</t>
        </is>
      </c>
      <c r="K22" t="inlineStr">
        <is>
          <t>No</t>
        </is>
      </c>
      <c r="L22" t="inlineStr">
        <is>
          <t>0</t>
        </is>
      </c>
      <c r="N22" t="inlineStr">
        <is>
          <t>New York : Liss, c1987.</t>
        </is>
      </c>
      <c r="O22" t="inlineStr">
        <is>
          <t>1987</t>
        </is>
      </c>
      <c r="Q22" t="inlineStr">
        <is>
          <t>eng</t>
        </is>
      </c>
      <c r="R22" t="inlineStr">
        <is>
          <t>xxu</t>
        </is>
      </c>
      <c r="S22" t="inlineStr">
        <is>
          <t>Progress in clinical and biological research ; v. 237</t>
        </is>
      </c>
      <c r="T22" t="inlineStr">
        <is>
          <t xml:space="preserve">W  </t>
        </is>
      </c>
      <c r="U22" t="n">
        <v>1</v>
      </c>
      <c r="V22" t="n">
        <v>1</v>
      </c>
      <c r="W22" t="inlineStr">
        <is>
          <t>2001-04-29</t>
        </is>
      </c>
      <c r="X22" t="inlineStr">
        <is>
          <t>2001-04-29</t>
        </is>
      </c>
      <c r="Y22" t="inlineStr">
        <is>
          <t>1988-01-06</t>
        </is>
      </c>
      <c r="Z22" t="inlineStr">
        <is>
          <t>1988-01-06</t>
        </is>
      </c>
      <c r="AA22" t="n">
        <v>134</v>
      </c>
      <c r="AB22" t="n">
        <v>114</v>
      </c>
      <c r="AC22" t="n">
        <v>118</v>
      </c>
      <c r="AD22" t="n">
        <v>2</v>
      </c>
      <c r="AE22" t="n">
        <v>2</v>
      </c>
      <c r="AF22" t="n">
        <v>3</v>
      </c>
      <c r="AG22" t="n">
        <v>3</v>
      </c>
      <c r="AH22" t="n">
        <v>1</v>
      </c>
      <c r="AI22" t="n">
        <v>1</v>
      </c>
      <c r="AJ22" t="n">
        <v>0</v>
      </c>
      <c r="AK22" t="n">
        <v>0</v>
      </c>
      <c r="AL22" t="n">
        <v>2</v>
      </c>
      <c r="AM22" t="n">
        <v>2</v>
      </c>
      <c r="AN22" t="n">
        <v>1</v>
      </c>
      <c r="AO22" t="n">
        <v>1</v>
      </c>
      <c r="AP22" t="n">
        <v>0</v>
      </c>
      <c r="AQ22" t="n">
        <v>0</v>
      </c>
      <c r="AR22" t="inlineStr">
        <is>
          <t>No</t>
        </is>
      </c>
      <c r="AS22" t="inlineStr">
        <is>
          <t>Yes</t>
        </is>
      </c>
      <c r="AT22">
        <f>HYPERLINK("http://catalog.hathitrust.org/Record/000852566","HathiTrust Record")</f>
        <v/>
      </c>
      <c r="AU22">
        <f>HYPERLINK("https://creighton-primo.hosted.exlibrisgroup.com/primo-explore/search?tab=default_tab&amp;search_scope=EVERYTHING&amp;vid=01CRU&amp;lang=en_US&amp;offset=0&amp;query=any,contains,991001535489702656","Catalog Record")</f>
        <v/>
      </c>
      <c r="AV22">
        <f>HYPERLINK("http://www.worldcat.org/oclc/15222407","WorldCat Record")</f>
        <v/>
      </c>
      <c r="AW22" t="inlineStr">
        <is>
          <t>795425471:eng</t>
        </is>
      </c>
      <c r="AX22" t="inlineStr">
        <is>
          <t>15222407</t>
        </is>
      </c>
      <c r="AY22" t="inlineStr">
        <is>
          <t>991001535489702656</t>
        </is>
      </c>
      <c r="AZ22" t="inlineStr">
        <is>
          <t>991001535489702656</t>
        </is>
      </c>
      <c r="BA22" t="inlineStr">
        <is>
          <t>2266459770002656</t>
        </is>
      </c>
      <c r="BB22" t="inlineStr">
        <is>
          <t>BOOK</t>
        </is>
      </c>
      <c r="BD22" t="inlineStr">
        <is>
          <t>9780845150870</t>
        </is>
      </c>
      <c r="BE22" t="inlineStr">
        <is>
          <t>30001000622755</t>
        </is>
      </c>
      <c r="BF22" t="inlineStr">
        <is>
          <t>893743898</t>
        </is>
      </c>
    </row>
    <row r="23">
      <c r="A23" t="inlineStr">
        <is>
          <t>No</t>
        </is>
      </c>
      <c r="B23" t="inlineStr">
        <is>
          <t>CUHSL</t>
        </is>
      </c>
      <c r="C23" t="inlineStr">
        <is>
          <t>SHELVES</t>
        </is>
      </c>
      <c r="D23" t="inlineStr">
        <is>
          <t>W 1 PR668E 1986 v.242</t>
        </is>
      </c>
      <c r="E23" t="inlineStr">
        <is>
          <t>0                      W  0001000PR 668E        1986                                        v.242</t>
        </is>
      </c>
      <c r="F23" t="inlineStr">
        <is>
          <t>Prostaglandins in clinical research : proceedings of the 3rd International Symposium on Prostaglandins, held in Bad Ischl, Austria, September 16-20, 1986 / editors, Helmut Sinzinger, Karsten Schrör.</t>
        </is>
      </c>
      <c r="G23" t="inlineStr">
        <is>
          <t>V.242</t>
        </is>
      </c>
      <c r="H23" t="inlineStr">
        <is>
          <t>No</t>
        </is>
      </c>
      <c r="I23" t="inlineStr">
        <is>
          <t>1</t>
        </is>
      </c>
      <c r="J23" t="inlineStr">
        <is>
          <t>No</t>
        </is>
      </c>
      <c r="K23" t="inlineStr">
        <is>
          <t>No</t>
        </is>
      </c>
      <c r="L23" t="inlineStr">
        <is>
          <t>0</t>
        </is>
      </c>
      <c r="M23" t="inlineStr">
        <is>
          <t>International Symposium on Prostaglandins (3rd : 1986 : Bad Ischl, Austria)</t>
        </is>
      </c>
      <c r="N23" t="inlineStr">
        <is>
          <t>New York : Liss, c1987.</t>
        </is>
      </c>
      <c r="O23" t="inlineStr">
        <is>
          <t>1987</t>
        </is>
      </c>
      <c r="Q23" t="inlineStr">
        <is>
          <t>eng</t>
        </is>
      </c>
      <c r="R23" t="inlineStr">
        <is>
          <t>nyu</t>
        </is>
      </c>
      <c r="S23" t="inlineStr">
        <is>
          <t>Progress in clinical and biological research ; v. 242</t>
        </is>
      </c>
      <c r="T23" t="inlineStr">
        <is>
          <t xml:space="preserve">W  </t>
        </is>
      </c>
      <c r="U23" t="n">
        <v>3</v>
      </c>
      <c r="V23" t="n">
        <v>3</v>
      </c>
      <c r="W23" t="inlineStr">
        <is>
          <t>1992-10-08</t>
        </is>
      </c>
      <c r="X23" t="inlineStr">
        <is>
          <t>1992-10-08</t>
        </is>
      </c>
      <c r="Y23" t="inlineStr">
        <is>
          <t>1987-10-27</t>
        </is>
      </c>
      <c r="Z23" t="inlineStr">
        <is>
          <t>1987-10-27</t>
        </is>
      </c>
      <c r="AA23" t="n">
        <v>151</v>
      </c>
      <c r="AB23" t="n">
        <v>128</v>
      </c>
      <c r="AC23" t="n">
        <v>148</v>
      </c>
      <c r="AD23" t="n">
        <v>1</v>
      </c>
      <c r="AE23" t="n">
        <v>2</v>
      </c>
      <c r="AF23" t="n">
        <v>3</v>
      </c>
      <c r="AG23" t="n">
        <v>4</v>
      </c>
      <c r="AH23" t="n">
        <v>1</v>
      </c>
      <c r="AI23" t="n">
        <v>1</v>
      </c>
      <c r="AJ23" t="n">
        <v>1</v>
      </c>
      <c r="AK23" t="n">
        <v>1</v>
      </c>
      <c r="AL23" t="n">
        <v>2</v>
      </c>
      <c r="AM23" t="n">
        <v>2</v>
      </c>
      <c r="AN23" t="n">
        <v>0</v>
      </c>
      <c r="AO23" t="n">
        <v>1</v>
      </c>
      <c r="AP23" t="n">
        <v>0</v>
      </c>
      <c r="AQ23" t="n">
        <v>0</v>
      </c>
      <c r="AR23" t="inlineStr">
        <is>
          <t>No</t>
        </is>
      </c>
      <c r="AS23" t="inlineStr">
        <is>
          <t>Yes</t>
        </is>
      </c>
      <c r="AT23">
        <f>HYPERLINK("http://catalog.hathitrust.org/Record/000837231","HathiTrust Record")</f>
        <v/>
      </c>
      <c r="AU23">
        <f>HYPERLINK("https://creighton-primo.hosted.exlibrisgroup.com/primo-explore/search?tab=default_tab&amp;search_scope=EVERYTHING&amp;vid=01CRU&amp;lang=en_US&amp;offset=0&amp;query=any,contains,991001529809702656","Catalog Record")</f>
        <v/>
      </c>
      <c r="AV23">
        <f>HYPERLINK("http://www.worldcat.org/oclc/15486446","WorldCat Record")</f>
        <v/>
      </c>
      <c r="AW23" t="inlineStr">
        <is>
          <t>21828723:eng</t>
        </is>
      </c>
      <c r="AX23" t="inlineStr">
        <is>
          <t>15486446</t>
        </is>
      </c>
      <c r="AY23" t="inlineStr">
        <is>
          <t>991001529809702656</t>
        </is>
      </c>
      <c r="AZ23" t="inlineStr">
        <is>
          <t>991001529809702656</t>
        </is>
      </c>
      <c r="BA23" t="inlineStr">
        <is>
          <t>2271989970002656</t>
        </is>
      </c>
      <c r="BB23" t="inlineStr">
        <is>
          <t>BOOK</t>
        </is>
      </c>
      <c r="BD23" t="inlineStr">
        <is>
          <t>9780845150924</t>
        </is>
      </c>
      <c r="BE23" t="inlineStr">
        <is>
          <t>30001000621153</t>
        </is>
      </c>
      <c r="BF23" t="inlineStr">
        <is>
          <t>893826839</t>
        </is>
      </c>
    </row>
    <row r="24">
      <c r="A24" t="inlineStr">
        <is>
          <t>No</t>
        </is>
      </c>
      <c r="B24" t="inlineStr">
        <is>
          <t>CUHSL</t>
        </is>
      </c>
      <c r="C24" t="inlineStr">
        <is>
          <t>SHELVES</t>
        </is>
      </c>
      <c r="D24" t="inlineStr">
        <is>
          <t>W 1 PR668E 1986 v.243A-B</t>
        </is>
      </c>
      <c r="E24" t="inlineStr">
        <is>
          <t>0                      W  0001000PR 668E        1986                                        v.243A-B</t>
        </is>
      </c>
      <c r="F24" t="inlineStr">
        <is>
          <t>Prostate cancer : proceedings of the Second International Symposium on Prostate Cancer, held in Paris, France, June 16-18, 1986 / editors, Gerald P. Murphy ... [et al.].</t>
        </is>
      </c>
      <c r="G24" t="inlineStr">
        <is>
          <t>V.243 A</t>
        </is>
      </c>
      <c r="H24" t="inlineStr">
        <is>
          <t>Yes</t>
        </is>
      </c>
      <c r="I24" t="inlineStr">
        <is>
          <t>1</t>
        </is>
      </c>
      <c r="J24" t="inlineStr">
        <is>
          <t>No</t>
        </is>
      </c>
      <c r="K24" t="inlineStr">
        <is>
          <t>No</t>
        </is>
      </c>
      <c r="L24" t="inlineStr">
        <is>
          <t>0</t>
        </is>
      </c>
      <c r="M24" t="inlineStr">
        <is>
          <t>International Symposium on Prostate Cancer (2nd : 1986 : Paris, France)</t>
        </is>
      </c>
      <c r="N24" t="inlineStr">
        <is>
          <t>New York : Liss, c1987.</t>
        </is>
      </c>
      <c r="O24" t="inlineStr">
        <is>
          <t>1987</t>
        </is>
      </c>
      <c r="Q24" t="inlineStr">
        <is>
          <t>eng</t>
        </is>
      </c>
      <c r="R24" t="inlineStr">
        <is>
          <t>xxu</t>
        </is>
      </c>
      <c r="S24" t="inlineStr">
        <is>
          <t>Progress in clinical and biological research ; v. 243</t>
        </is>
      </c>
      <c r="T24" t="inlineStr">
        <is>
          <t xml:space="preserve">W  </t>
        </is>
      </c>
      <c r="U24" t="n">
        <v>2</v>
      </c>
      <c r="V24" t="n">
        <v>6</v>
      </c>
      <c r="W24" t="inlineStr">
        <is>
          <t>1988-11-06</t>
        </is>
      </c>
      <c r="X24" t="inlineStr">
        <is>
          <t>1990-01-29</t>
        </is>
      </c>
      <c r="Y24" t="inlineStr">
        <is>
          <t>1987-11-17</t>
        </is>
      </c>
      <c r="Z24" t="inlineStr">
        <is>
          <t>1987-11-17</t>
        </is>
      </c>
      <c r="AA24" t="n">
        <v>144</v>
      </c>
      <c r="AB24" t="n">
        <v>118</v>
      </c>
      <c r="AC24" t="n">
        <v>121</v>
      </c>
      <c r="AD24" t="n">
        <v>1</v>
      </c>
      <c r="AE24" t="n">
        <v>1</v>
      </c>
      <c r="AF24" t="n">
        <v>1</v>
      </c>
      <c r="AG24" t="n">
        <v>1</v>
      </c>
      <c r="AH24" t="n">
        <v>0</v>
      </c>
      <c r="AI24" t="n">
        <v>0</v>
      </c>
      <c r="AJ24" t="n">
        <v>0</v>
      </c>
      <c r="AK24" t="n">
        <v>0</v>
      </c>
      <c r="AL24" t="n">
        <v>1</v>
      </c>
      <c r="AM24" t="n">
        <v>1</v>
      </c>
      <c r="AN24" t="n">
        <v>0</v>
      </c>
      <c r="AO24" t="n">
        <v>0</v>
      </c>
      <c r="AP24" t="n">
        <v>0</v>
      </c>
      <c r="AQ24" t="n">
        <v>0</v>
      </c>
      <c r="AR24" t="inlineStr">
        <is>
          <t>No</t>
        </is>
      </c>
      <c r="AS24" t="inlineStr">
        <is>
          <t>Yes</t>
        </is>
      </c>
      <c r="AT24">
        <f>HYPERLINK("http://catalog.hathitrust.org/Record/000833249","HathiTrust Record")</f>
        <v/>
      </c>
      <c r="AU24">
        <f>HYPERLINK("https://creighton-primo.hosted.exlibrisgroup.com/primo-explore/search?tab=default_tab&amp;search_scope=EVERYTHING&amp;vid=01CRU&amp;lang=en_US&amp;offset=0&amp;query=any,contains,991001531179702656","Catalog Record")</f>
        <v/>
      </c>
      <c r="AV24">
        <f>HYPERLINK("http://www.worldcat.org/oclc/15518547","WorldCat Record")</f>
        <v/>
      </c>
      <c r="AW24" t="inlineStr">
        <is>
          <t>2829736190:eng</t>
        </is>
      </c>
      <c r="AX24" t="inlineStr">
        <is>
          <t>15518547</t>
        </is>
      </c>
      <c r="AY24" t="inlineStr">
        <is>
          <t>991001531179702656</t>
        </is>
      </c>
      <c r="AZ24" t="inlineStr">
        <is>
          <t>991001531179702656</t>
        </is>
      </c>
      <c r="BA24" t="inlineStr">
        <is>
          <t>2269348220002656</t>
        </is>
      </c>
      <c r="BB24" t="inlineStr">
        <is>
          <t>BOOK</t>
        </is>
      </c>
      <c r="BD24" t="inlineStr">
        <is>
          <t>9780845101988</t>
        </is>
      </c>
      <c r="BE24" t="inlineStr">
        <is>
          <t>30001000621526</t>
        </is>
      </c>
      <c r="BF24" t="inlineStr">
        <is>
          <t>893727736</t>
        </is>
      </c>
    </row>
    <row r="25">
      <c r="A25" t="inlineStr">
        <is>
          <t>No</t>
        </is>
      </c>
      <c r="B25" t="inlineStr">
        <is>
          <t>CUHSL</t>
        </is>
      </c>
      <c r="C25" t="inlineStr">
        <is>
          <t>SHELVES</t>
        </is>
      </c>
      <c r="D25" t="inlineStr">
        <is>
          <t>W 1 PR668E 1986 v.243A-B</t>
        </is>
      </c>
      <c r="E25" t="inlineStr">
        <is>
          <t>0                      W  0001000PR 668E        1986                                        v.243A-B</t>
        </is>
      </c>
      <c r="F25" t="inlineStr">
        <is>
          <t>Prostate cancer : proceedings of the Second International Symposium on Prostate Cancer, held in Paris, France, June 16-18, 1986 / editors, Gerald P. Murphy ... [et al.].</t>
        </is>
      </c>
      <c r="G25" t="inlineStr">
        <is>
          <t>V.243 B</t>
        </is>
      </c>
      <c r="H25" t="inlineStr">
        <is>
          <t>Yes</t>
        </is>
      </c>
      <c r="I25" t="inlineStr">
        <is>
          <t>1</t>
        </is>
      </c>
      <c r="J25" t="inlineStr">
        <is>
          <t>No</t>
        </is>
      </c>
      <c r="K25" t="inlineStr">
        <is>
          <t>No</t>
        </is>
      </c>
      <c r="L25" t="inlineStr">
        <is>
          <t>0</t>
        </is>
      </c>
      <c r="M25" t="inlineStr">
        <is>
          <t>International Symposium on Prostate Cancer (2nd : 1986 : Paris, France)</t>
        </is>
      </c>
      <c r="N25" t="inlineStr">
        <is>
          <t>New York : Liss, c1987.</t>
        </is>
      </c>
      <c r="O25" t="inlineStr">
        <is>
          <t>1987</t>
        </is>
      </c>
      <c r="Q25" t="inlineStr">
        <is>
          <t>eng</t>
        </is>
      </c>
      <c r="R25" t="inlineStr">
        <is>
          <t>xxu</t>
        </is>
      </c>
      <c r="S25" t="inlineStr">
        <is>
          <t>Progress in clinical and biological research ; v. 243</t>
        </is>
      </c>
      <c r="T25" t="inlineStr">
        <is>
          <t xml:space="preserve">W  </t>
        </is>
      </c>
      <c r="U25" t="n">
        <v>4</v>
      </c>
      <c r="V25" t="n">
        <v>6</v>
      </c>
      <c r="W25" t="inlineStr">
        <is>
          <t>1990-01-29</t>
        </is>
      </c>
      <c r="X25" t="inlineStr">
        <is>
          <t>1990-01-29</t>
        </is>
      </c>
      <c r="Y25" t="inlineStr">
        <is>
          <t>1987-11-17</t>
        </is>
      </c>
      <c r="Z25" t="inlineStr">
        <is>
          <t>1987-11-17</t>
        </is>
      </c>
      <c r="AA25" t="n">
        <v>144</v>
      </c>
      <c r="AB25" t="n">
        <v>118</v>
      </c>
      <c r="AC25" t="n">
        <v>121</v>
      </c>
      <c r="AD25" t="n">
        <v>1</v>
      </c>
      <c r="AE25" t="n">
        <v>1</v>
      </c>
      <c r="AF25" t="n">
        <v>1</v>
      </c>
      <c r="AG25" t="n">
        <v>1</v>
      </c>
      <c r="AH25" t="n">
        <v>0</v>
      </c>
      <c r="AI25" t="n">
        <v>0</v>
      </c>
      <c r="AJ25" t="n">
        <v>0</v>
      </c>
      <c r="AK25" t="n">
        <v>0</v>
      </c>
      <c r="AL25" t="n">
        <v>1</v>
      </c>
      <c r="AM25" t="n">
        <v>1</v>
      </c>
      <c r="AN25" t="n">
        <v>0</v>
      </c>
      <c r="AO25" t="n">
        <v>0</v>
      </c>
      <c r="AP25" t="n">
        <v>0</v>
      </c>
      <c r="AQ25" t="n">
        <v>0</v>
      </c>
      <c r="AR25" t="inlineStr">
        <is>
          <t>No</t>
        </is>
      </c>
      <c r="AS25" t="inlineStr">
        <is>
          <t>Yes</t>
        </is>
      </c>
      <c r="AT25">
        <f>HYPERLINK("http://catalog.hathitrust.org/Record/000833249","HathiTrust Record")</f>
        <v/>
      </c>
      <c r="AU25">
        <f>HYPERLINK("https://creighton-primo.hosted.exlibrisgroup.com/primo-explore/search?tab=default_tab&amp;search_scope=EVERYTHING&amp;vid=01CRU&amp;lang=en_US&amp;offset=0&amp;query=any,contains,991001531179702656","Catalog Record")</f>
        <v/>
      </c>
      <c r="AV25">
        <f>HYPERLINK("http://www.worldcat.org/oclc/15518547","WorldCat Record")</f>
        <v/>
      </c>
      <c r="AW25" t="inlineStr">
        <is>
          <t>2829736190:eng</t>
        </is>
      </c>
      <c r="AX25" t="inlineStr">
        <is>
          <t>15518547</t>
        </is>
      </c>
      <c r="AY25" t="inlineStr">
        <is>
          <t>991001531179702656</t>
        </is>
      </c>
      <c r="AZ25" t="inlineStr">
        <is>
          <t>991001531179702656</t>
        </is>
      </c>
      <c r="BA25" t="inlineStr">
        <is>
          <t>2269348220002656</t>
        </is>
      </c>
      <c r="BB25" t="inlineStr">
        <is>
          <t>BOOK</t>
        </is>
      </c>
      <c r="BD25" t="inlineStr">
        <is>
          <t>9780845101988</t>
        </is>
      </c>
      <c r="BE25" t="inlineStr">
        <is>
          <t>30001000621534</t>
        </is>
      </c>
      <c r="BF25" t="inlineStr">
        <is>
          <t>893741226</t>
        </is>
      </c>
    </row>
    <row r="26">
      <c r="A26" t="inlineStr">
        <is>
          <t>No</t>
        </is>
      </c>
      <c r="B26" t="inlineStr">
        <is>
          <t>CUHSL</t>
        </is>
      </c>
      <c r="C26" t="inlineStr">
        <is>
          <t>SHELVES</t>
        </is>
      </c>
      <c r="D26" t="inlineStr">
        <is>
          <t>W 1 PR668E 1988 v.258</t>
        </is>
      </c>
      <c r="E26" t="inlineStr">
        <is>
          <t>0                      W  0001000PR 668E        1988                                        v.258</t>
        </is>
      </c>
      <c r="F26" t="inlineStr">
        <is>
          <t>Membrane biophysics III : biological transport : proceedings of the 25th Annual Meeting of the Biological Transport Group, in a joint meeting with the Midwest Salt and Water Club held at Cumberland Lake, Kentucky, June 21-24, 1987 / editors, Mumtaz A. Dinno, William McD. Armstrong.</t>
        </is>
      </c>
      <c r="G26" t="inlineStr">
        <is>
          <t>V.258</t>
        </is>
      </c>
      <c r="H26" t="inlineStr">
        <is>
          <t>No</t>
        </is>
      </c>
      <c r="I26" t="inlineStr">
        <is>
          <t>1</t>
        </is>
      </c>
      <c r="J26" t="inlineStr">
        <is>
          <t>No</t>
        </is>
      </c>
      <c r="K26" t="inlineStr">
        <is>
          <t>No</t>
        </is>
      </c>
      <c r="L26" t="inlineStr">
        <is>
          <t>0</t>
        </is>
      </c>
      <c r="M26" t="inlineStr">
        <is>
          <t>Biological Transport Group. Meeting (25th : 1987 : Cumberland, Lake, Ky.)</t>
        </is>
      </c>
      <c r="N26" t="inlineStr">
        <is>
          <t>New York : Liss, c1988.</t>
        </is>
      </c>
      <c r="O26" t="inlineStr">
        <is>
          <t>1988</t>
        </is>
      </c>
      <c r="Q26" t="inlineStr">
        <is>
          <t>eng</t>
        </is>
      </c>
      <c r="R26" t="inlineStr">
        <is>
          <t>xxu</t>
        </is>
      </c>
      <c r="S26" t="inlineStr">
        <is>
          <t>Progress in clinical and biological research ; v. 258</t>
        </is>
      </c>
      <c r="T26" t="inlineStr">
        <is>
          <t xml:space="preserve">W  </t>
        </is>
      </c>
      <c r="U26" t="n">
        <v>3</v>
      </c>
      <c r="V26" t="n">
        <v>3</v>
      </c>
      <c r="W26" t="inlineStr">
        <is>
          <t>1989-05-08</t>
        </is>
      </c>
      <c r="X26" t="inlineStr">
        <is>
          <t>1989-05-08</t>
        </is>
      </c>
      <c r="Y26" t="inlineStr">
        <is>
          <t>1989-04-28</t>
        </is>
      </c>
      <c r="Z26" t="inlineStr">
        <is>
          <t>1989-04-28</t>
        </is>
      </c>
      <c r="AA26" t="n">
        <v>152</v>
      </c>
      <c r="AB26" t="n">
        <v>130</v>
      </c>
      <c r="AC26" t="n">
        <v>132</v>
      </c>
      <c r="AD26" t="n">
        <v>1</v>
      </c>
      <c r="AE26" t="n">
        <v>1</v>
      </c>
      <c r="AF26" t="n">
        <v>3</v>
      </c>
      <c r="AG26" t="n">
        <v>3</v>
      </c>
      <c r="AH26" t="n">
        <v>1</v>
      </c>
      <c r="AI26" t="n">
        <v>1</v>
      </c>
      <c r="AJ26" t="n">
        <v>0</v>
      </c>
      <c r="AK26" t="n">
        <v>0</v>
      </c>
      <c r="AL26" t="n">
        <v>3</v>
      </c>
      <c r="AM26" t="n">
        <v>3</v>
      </c>
      <c r="AN26" t="n">
        <v>0</v>
      </c>
      <c r="AO26" t="n">
        <v>0</v>
      </c>
      <c r="AP26" t="n">
        <v>0</v>
      </c>
      <c r="AQ26" t="n">
        <v>0</v>
      </c>
      <c r="AR26" t="inlineStr">
        <is>
          <t>No</t>
        </is>
      </c>
      <c r="AS26" t="inlineStr">
        <is>
          <t>Yes</t>
        </is>
      </c>
      <c r="AT26">
        <f>HYPERLINK("http://catalog.hathitrust.org/Record/000951699","HathiTrust Record")</f>
        <v/>
      </c>
      <c r="AU26">
        <f>HYPERLINK("https://creighton-primo.hosted.exlibrisgroup.com/primo-explore/search?tab=default_tab&amp;search_scope=EVERYTHING&amp;vid=01CRU&amp;lang=en_US&amp;offset=0&amp;query=any,contains,991001244779702656","Catalog Record")</f>
        <v/>
      </c>
      <c r="AV26">
        <f>HYPERLINK("http://www.worldcat.org/oclc/17484164","WorldCat Record")</f>
        <v/>
      </c>
      <c r="AW26" t="inlineStr">
        <is>
          <t>15954272:eng</t>
        </is>
      </c>
      <c r="AX26" t="inlineStr">
        <is>
          <t>17484164</t>
        </is>
      </c>
      <c r="AY26" t="inlineStr">
        <is>
          <t>991001244779702656</t>
        </is>
      </c>
      <c r="AZ26" t="inlineStr">
        <is>
          <t>991001244779702656</t>
        </is>
      </c>
      <c r="BA26" t="inlineStr">
        <is>
          <t>2269055570002656</t>
        </is>
      </c>
      <c r="BB26" t="inlineStr">
        <is>
          <t>BOOK</t>
        </is>
      </c>
      <c r="BD26" t="inlineStr">
        <is>
          <t>9780845151082</t>
        </is>
      </c>
      <c r="BE26" t="inlineStr">
        <is>
          <t>30001001676727</t>
        </is>
      </c>
      <c r="BF26" t="inlineStr">
        <is>
          <t>893287313</t>
        </is>
      </c>
    </row>
    <row r="27">
      <c r="A27" t="inlineStr">
        <is>
          <t>No</t>
        </is>
      </c>
      <c r="B27" t="inlineStr">
        <is>
          <t>CUHSL</t>
        </is>
      </c>
      <c r="C27" t="inlineStr">
        <is>
          <t>SHELVES</t>
        </is>
      </c>
      <c r="D27" t="inlineStr">
        <is>
          <t>W 1 PR668E 1988 v.260</t>
        </is>
      </c>
      <c r="E27" t="inlineStr">
        <is>
          <t>0                      W  0001000PR 668E        1988                                        v.260</t>
        </is>
      </c>
      <c r="F27" t="inlineStr">
        <is>
          <t>Management of advanced cancer of prostate and bladder : proceedings of a symposium of the tenth anniversary of the European Organization for Research on the Treatment of Cancer (EORTC), held in Leeds, England, October 3rd, 1986, and the Fifth Course in Urological Oncology, held in Erice, Sicily, November 28-December 4th, 1986 / editors, Philip H. Smith, Michele Pavone-Macaluso.</t>
        </is>
      </c>
      <c r="G27" t="inlineStr">
        <is>
          <t>V.260</t>
        </is>
      </c>
      <c r="H27" t="inlineStr">
        <is>
          <t>No</t>
        </is>
      </c>
      <c r="I27" t="inlineStr">
        <is>
          <t>1</t>
        </is>
      </c>
      <c r="J27" t="inlineStr">
        <is>
          <t>No</t>
        </is>
      </c>
      <c r="K27" t="inlineStr">
        <is>
          <t>No</t>
        </is>
      </c>
      <c r="L27" t="inlineStr">
        <is>
          <t>0</t>
        </is>
      </c>
      <c r="N27" t="inlineStr">
        <is>
          <t>New York : Liss, c1988.</t>
        </is>
      </c>
      <c r="O27" t="inlineStr">
        <is>
          <t>1988</t>
        </is>
      </c>
      <c r="Q27" t="inlineStr">
        <is>
          <t>eng</t>
        </is>
      </c>
      <c r="R27" t="inlineStr">
        <is>
          <t>xxu</t>
        </is>
      </c>
      <c r="S27" t="inlineStr">
        <is>
          <t>Progress in clinical and biological research ; v. 260</t>
        </is>
      </c>
      <c r="T27" t="inlineStr">
        <is>
          <t xml:space="preserve">W  </t>
        </is>
      </c>
      <c r="U27" t="n">
        <v>4</v>
      </c>
      <c r="V27" t="n">
        <v>4</v>
      </c>
      <c r="W27" t="inlineStr">
        <is>
          <t>1990-05-31</t>
        </is>
      </c>
      <c r="X27" t="inlineStr">
        <is>
          <t>1990-05-31</t>
        </is>
      </c>
      <c r="Y27" t="inlineStr">
        <is>
          <t>1988-08-10</t>
        </is>
      </c>
      <c r="Z27" t="inlineStr">
        <is>
          <t>1988-08-10</t>
        </is>
      </c>
      <c r="AA27" t="n">
        <v>140</v>
      </c>
      <c r="AB27" t="n">
        <v>111</v>
      </c>
      <c r="AC27" t="n">
        <v>113</v>
      </c>
      <c r="AD27" t="n">
        <v>2</v>
      </c>
      <c r="AE27" t="n">
        <v>2</v>
      </c>
      <c r="AF27" t="n">
        <v>2</v>
      </c>
      <c r="AG27" t="n">
        <v>2</v>
      </c>
      <c r="AH27" t="n">
        <v>0</v>
      </c>
      <c r="AI27" t="n">
        <v>0</v>
      </c>
      <c r="AJ27" t="n">
        <v>0</v>
      </c>
      <c r="AK27" t="n">
        <v>0</v>
      </c>
      <c r="AL27" t="n">
        <v>1</v>
      </c>
      <c r="AM27" t="n">
        <v>1</v>
      </c>
      <c r="AN27" t="n">
        <v>1</v>
      </c>
      <c r="AO27" t="n">
        <v>1</v>
      </c>
      <c r="AP27" t="n">
        <v>0</v>
      </c>
      <c r="AQ27" t="n">
        <v>0</v>
      </c>
      <c r="AR27" t="inlineStr">
        <is>
          <t>No</t>
        </is>
      </c>
      <c r="AS27" t="inlineStr">
        <is>
          <t>Yes</t>
        </is>
      </c>
      <c r="AT27">
        <f>HYPERLINK("http://catalog.hathitrust.org/Record/000911941","HathiTrust Record")</f>
        <v/>
      </c>
      <c r="AU27">
        <f>HYPERLINK("https://creighton-primo.hosted.exlibrisgroup.com/primo-explore/search?tab=default_tab&amp;search_scope=EVERYTHING&amp;vid=01CRU&amp;lang=en_US&amp;offset=0&amp;query=any,contains,991001421299702656","Catalog Record")</f>
        <v/>
      </c>
      <c r="AV27">
        <f>HYPERLINK("http://www.worldcat.org/oclc/17265672","WorldCat Record")</f>
        <v/>
      </c>
      <c r="AW27" t="inlineStr">
        <is>
          <t>795466324:eng</t>
        </is>
      </c>
      <c r="AX27" t="inlineStr">
        <is>
          <t>17265672</t>
        </is>
      </c>
      <c r="AY27" t="inlineStr">
        <is>
          <t>991001421299702656</t>
        </is>
      </c>
      <c r="AZ27" t="inlineStr">
        <is>
          <t>991001421299702656</t>
        </is>
      </c>
      <c r="BA27" t="inlineStr">
        <is>
          <t>2258794720002656</t>
        </is>
      </c>
      <c r="BB27" t="inlineStr">
        <is>
          <t>BOOK</t>
        </is>
      </c>
      <c r="BD27" t="inlineStr">
        <is>
          <t>9780845151105</t>
        </is>
      </c>
      <c r="BE27" t="inlineStr">
        <is>
          <t>30001001182361</t>
        </is>
      </c>
      <c r="BF27" t="inlineStr">
        <is>
          <t>893161977</t>
        </is>
      </c>
    </row>
    <row r="28">
      <c r="A28" t="inlineStr">
        <is>
          <t>No</t>
        </is>
      </c>
      <c r="B28" t="inlineStr">
        <is>
          <t>CUHSL</t>
        </is>
      </c>
      <c r="C28" t="inlineStr">
        <is>
          <t>SHELVES</t>
        </is>
      </c>
      <c r="D28" t="inlineStr">
        <is>
          <t>W 1 PR668E 1988 v.266</t>
        </is>
      </c>
      <c r="E28" t="inlineStr">
        <is>
          <t>0                      W  0001000PR 668E        1988                                        v.266</t>
        </is>
      </c>
      <c r="F28" t="inlineStr">
        <is>
          <t>Growth factors and other aspects of wound healing : biological and clinical implications : proceedings of the Second International Symposium on Tissue Repair, held at the Innisbrook Resort, Tarpon Springs, Florida, May 13-17, 1987 / editors, Thomas K. Hunt ... [et al.].</t>
        </is>
      </c>
      <c r="G28" t="inlineStr">
        <is>
          <t>V.266</t>
        </is>
      </c>
      <c r="H28" t="inlineStr">
        <is>
          <t>No</t>
        </is>
      </c>
      <c r="I28" t="inlineStr">
        <is>
          <t>1</t>
        </is>
      </c>
      <c r="J28" t="inlineStr">
        <is>
          <t>No</t>
        </is>
      </c>
      <c r="K28" t="inlineStr">
        <is>
          <t>No</t>
        </is>
      </c>
      <c r="L28" t="inlineStr">
        <is>
          <t>0</t>
        </is>
      </c>
      <c r="M28" t="inlineStr">
        <is>
          <t>International Symposium on Tissue Repair (2nd : 1987 : Tarpon Springs, Fla.)</t>
        </is>
      </c>
      <c r="N28" t="inlineStr">
        <is>
          <t>New York : A.R. Liss, c1988.</t>
        </is>
      </c>
      <c r="O28" t="inlineStr">
        <is>
          <t>1988</t>
        </is>
      </c>
      <c r="Q28" t="inlineStr">
        <is>
          <t>eng</t>
        </is>
      </c>
      <c r="R28" t="inlineStr">
        <is>
          <t>xxu</t>
        </is>
      </c>
      <c r="S28" t="inlineStr">
        <is>
          <t>Progress in clinical and biological research ; v. 266</t>
        </is>
      </c>
      <c r="T28" t="inlineStr">
        <is>
          <t xml:space="preserve">W  </t>
        </is>
      </c>
      <c r="U28" t="n">
        <v>3</v>
      </c>
      <c r="V28" t="n">
        <v>3</v>
      </c>
      <c r="W28" t="inlineStr">
        <is>
          <t>1994-06-29</t>
        </is>
      </c>
      <c r="X28" t="inlineStr">
        <is>
          <t>1994-06-29</t>
        </is>
      </c>
      <c r="Y28" t="inlineStr">
        <is>
          <t>1988-08-09</t>
        </is>
      </c>
      <c r="Z28" t="inlineStr">
        <is>
          <t>1988-08-09</t>
        </is>
      </c>
      <c r="AA28" t="n">
        <v>165</v>
      </c>
      <c r="AB28" t="n">
        <v>129</v>
      </c>
      <c r="AC28" t="n">
        <v>133</v>
      </c>
      <c r="AD28" t="n">
        <v>1</v>
      </c>
      <c r="AE28" t="n">
        <v>2</v>
      </c>
      <c r="AF28" t="n">
        <v>2</v>
      </c>
      <c r="AG28" t="n">
        <v>3</v>
      </c>
      <c r="AH28" t="n">
        <v>0</v>
      </c>
      <c r="AI28" t="n">
        <v>0</v>
      </c>
      <c r="AJ28" t="n">
        <v>0</v>
      </c>
      <c r="AK28" t="n">
        <v>0</v>
      </c>
      <c r="AL28" t="n">
        <v>2</v>
      </c>
      <c r="AM28" t="n">
        <v>2</v>
      </c>
      <c r="AN28" t="n">
        <v>0</v>
      </c>
      <c r="AO28" t="n">
        <v>1</v>
      </c>
      <c r="AP28" t="n">
        <v>0</v>
      </c>
      <c r="AQ28" t="n">
        <v>0</v>
      </c>
      <c r="AR28" t="inlineStr">
        <is>
          <t>No</t>
        </is>
      </c>
      <c r="AS28" t="inlineStr">
        <is>
          <t>Yes</t>
        </is>
      </c>
      <c r="AT28">
        <f>HYPERLINK("http://catalog.hathitrust.org/Record/000907805","HathiTrust Record")</f>
        <v/>
      </c>
      <c r="AU28">
        <f>HYPERLINK("https://creighton-primo.hosted.exlibrisgroup.com/primo-explore/search?tab=default_tab&amp;search_scope=EVERYTHING&amp;vid=01CRU&amp;lang=en_US&amp;offset=0&amp;query=any,contains,991001419469702656","Catalog Record")</f>
        <v/>
      </c>
      <c r="AV28">
        <f>HYPERLINK("http://www.worldcat.org/oclc/17413307","WorldCat Record")</f>
        <v/>
      </c>
      <c r="AW28" t="inlineStr">
        <is>
          <t>15610396:eng</t>
        </is>
      </c>
      <c r="AX28" t="inlineStr">
        <is>
          <t>17413307</t>
        </is>
      </c>
      <c r="AY28" t="inlineStr">
        <is>
          <t>991001419469702656</t>
        </is>
      </c>
      <c r="AZ28" t="inlineStr">
        <is>
          <t>991001419469702656</t>
        </is>
      </c>
      <c r="BA28" t="inlineStr">
        <is>
          <t>2265555980002656</t>
        </is>
      </c>
      <c r="BB28" t="inlineStr">
        <is>
          <t>BOOK</t>
        </is>
      </c>
      <c r="BD28" t="inlineStr">
        <is>
          <t>9780845151167</t>
        </is>
      </c>
      <c r="BE28" t="inlineStr">
        <is>
          <t>30001001181785</t>
        </is>
      </c>
      <c r="BF28" t="inlineStr">
        <is>
          <t>893643558</t>
        </is>
      </c>
    </row>
    <row r="29">
      <c r="A29" t="inlineStr">
        <is>
          <t>No</t>
        </is>
      </c>
      <c r="B29" t="inlineStr">
        <is>
          <t>CUHSL</t>
        </is>
      </c>
      <c r="C29" t="inlineStr">
        <is>
          <t>SHELVES</t>
        </is>
      </c>
      <c r="D29" t="inlineStr">
        <is>
          <t>W 1 PR668E 1988 v.273</t>
        </is>
      </c>
      <c r="E29" t="inlineStr">
        <is>
          <t>0                      W  0001000PR 668E        1988                                        v.273</t>
        </is>
      </c>
      <c r="F29" t="inlineStr">
        <is>
          <t>The ion pumps : structure, function, and regulation : proceedings of the First Shoresh Workshop on Ion Pumps, held at Shoresh, Israel, August 30 through September 2, 1987 / editor, Wilfred D. Stein.</t>
        </is>
      </c>
      <c r="G29" t="inlineStr">
        <is>
          <t>V.273</t>
        </is>
      </c>
      <c r="H29" t="inlineStr">
        <is>
          <t>No</t>
        </is>
      </c>
      <c r="I29" t="inlineStr">
        <is>
          <t>1</t>
        </is>
      </c>
      <c r="J29" t="inlineStr">
        <is>
          <t>No</t>
        </is>
      </c>
      <c r="K29" t="inlineStr">
        <is>
          <t>No</t>
        </is>
      </c>
      <c r="L29" t="inlineStr">
        <is>
          <t>0</t>
        </is>
      </c>
      <c r="M29" t="inlineStr">
        <is>
          <t>Shoresh Workshop on Ion Pumps (1st : 1987 : Shoresh, Israel)</t>
        </is>
      </c>
      <c r="N29" t="inlineStr">
        <is>
          <t>New York : A.R. Liss, c1988.</t>
        </is>
      </c>
      <c r="O29" t="inlineStr">
        <is>
          <t>1988</t>
        </is>
      </c>
      <c r="Q29" t="inlineStr">
        <is>
          <t>eng</t>
        </is>
      </c>
      <c r="R29" t="inlineStr">
        <is>
          <t>xxu</t>
        </is>
      </c>
      <c r="S29" t="inlineStr">
        <is>
          <t>Progress in clinical and biological research ; v. 273</t>
        </is>
      </c>
      <c r="T29" t="inlineStr">
        <is>
          <t xml:space="preserve">W  </t>
        </is>
      </c>
      <c r="U29" t="n">
        <v>7</v>
      </c>
      <c r="V29" t="n">
        <v>7</v>
      </c>
      <c r="W29" t="inlineStr">
        <is>
          <t>1994-03-01</t>
        </is>
      </c>
      <c r="X29" t="inlineStr">
        <is>
          <t>1994-03-01</t>
        </is>
      </c>
      <c r="Y29" t="inlineStr">
        <is>
          <t>1988-12-23</t>
        </is>
      </c>
      <c r="Z29" t="inlineStr">
        <is>
          <t>1988-12-23</t>
        </is>
      </c>
      <c r="AA29" t="n">
        <v>170</v>
      </c>
      <c r="AB29" t="n">
        <v>144</v>
      </c>
      <c r="AC29" t="n">
        <v>146</v>
      </c>
      <c r="AD29" t="n">
        <v>2</v>
      </c>
      <c r="AE29" t="n">
        <v>2</v>
      </c>
      <c r="AF29" t="n">
        <v>5</v>
      </c>
      <c r="AG29" t="n">
        <v>5</v>
      </c>
      <c r="AH29" t="n">
        <v>1</v>
      </c>
      <c r="AI29" t="n">
        <v>1</v>
      </c>
      <c r="AJ29" t="n">
        <v>1</v>
      </c>
      <c r="AK29" t="n">
        <v>1</v>
      </c>
      <c r="AL29" t="n">
        <v>3</v>
      </c>
      <c r="AM29" t="n">
        <v>3</v>
      </c>
      <c r="AN29" t="n">
        <v>1</v>
      </c>
      <c r="AO29" t="n">
        <v>1</v>
      </c>
      <c r="AP29" t="n">
        <v>0</v>
      </c>
      <c r="AQ29" t="n">
        <v>0</v>
      </c>
      <c r="AR29" t="inlineStr">
        <is>
          <t>No</t>
        </is>
      </c>
      <c r="AS29" t="inlineStr">
        <is>
          <t>Yes</t>
        </is>
      </c>
      <c r="AT29">
        <f>HYPERLINK("http://catalog.hathitrust.org/Record/000917683","HathiTrust Record")</f>
        <v/>
      </c>
      <c r="AU29">
        <f>HYPERLINK("https://creighton-primo.hosted.exlibrisgroup.com/primo-explore/search?tab=default_tab&amp;search_scope=EVERYTHING&amp;vid=01CRU&amp;lang=en_US&amp;offset=0&amp;query=any,contains,991001112329702656","Catalog Record")</f>
        <v/>
      </c>
      <c r="AV29">
        <f>HYPERLINK("http://www.worldcat.org/oclc/17547074","WorldCat Record")</f>
        <v/>
      </c>
      <c r="AW29" t="inlineStr">
        <is>
          <t>5609581117:eng</t>
        </is>
      </c>
      <c r="AX29" t="inlineStr">
        <is>
          <t>17547074</t>
        </is>
      </c>
      <c r="AY29" t="inlineStr">
        <is>
          <t>991001112329702656</t>
        </is>
      </c>
      <c r="AZ29" t="inlineStr">
        <is>
          <t>991001112329702656</t>
        </is>
      </c>
      <c r="BA29" t="inlineStr">
        <is>
          <t>2262269170002656</t>
        </is>
      </c>
      <c r="BB29" t="inlineStr">
        <is>
          <t>BOOK</t>
        </is>
      </c>
      <c r="BD29" t="inlineStr">
        <is>
          <t>9780845151235</t>
        </is>
      </c>
      <c r="BE29" t="inlineStr">
        <is>
          <t>30001001612367</t>
        </is>
      </c>
      <c r="BF29" t="inlineStr">
        <is>
          <t>893826455</t>
        </is>
      </c>
    </row>
    <row r="30">
      <c r="A30" t="inlineStr">
        <is>
          <t>No</t>
        </is>
      </c>
      <c r="B30" t="inlineStr">
        <is>
          <t>CUHSL</t>
        </is>
      </c>
      <c r="C30" t="inlineStr">
        <is>
          <t>SHELVES</t>
        </is>
      </c>
      <c r="D30" t="inlineStr">
        <is>
          <t>W 1 PR668E 1992 v.381</t>
        </is>
      </c>
      <c r="E30" t="inlineStr">
        <is>
          <t>0                      W  0001000PR 668E        1992                                        v.381</t>
        </is>
      </c>
      <c r="F30" t="inlineStr">
        <is>
          <t>Gynecologic surgery and adhesion prevention : proceedings of the Second International Symposium on Gynecologic Surgery and Adhesion Prevention held in Palm Beach, Florida, January 1992 / editors, Michael P. Diamond ... [et al.].</t>
        </is>
      </c>
      <c r="G30" t="inlineStr">
        <is>
          <t>V.381</t>
        </is>
      </c>
      <c r="H30" t="inlineStr">
        <is>
          <t>No</t>
        </is>
      </c>
      <c r="I30" t="inlineStr">
        <is>
          <t>1</t>
        </is>
      </c>
      <c r="J30" t="inlineStr">
        <is>
          <t>No</t>
        </is>
      </c>
      <c r="K30" t="inlineStr">
        <is>
          <t>No</t>
        </is>
      </c>
      <c r="L30" t="inlineStr">
        <is>
          <t>0</t>
        </is>
      </c>
      <c r="M30" t="inlineStr">
        <is>
          <t>International Symposium on Gynecologic Surgery and Adhesion Prevention (2nd : 1992 : Palm Beach, Fla.)</t>
        </is>
      </c>
      <c r="N30" t="inlineStr">
        <is>
          <t>New York, N.Y. : Wiley-Liss, c1993.</t>
        </is>
      </c>
      <c r="O30" t="inlineStr">
        <is>
          <t>1993</t>
        </is>
      </c>
      <c r="Q30" t="inlineStr">
        <is>
          <t>eng</t>
        </is>
      </c>
      <c r="R30" t="inlineStr">
        <is>
          <t>xxu</t>
        </is>
      </c>
      <c r="S30" t="inlineStr">
        <is>
          <t>Progress in clinical and biological research ; v. 381</t>
        </is>
      </c>
      <c r="T30" t="inlineStr">
        <is>
          <t xml:space="preserve">W  </t>
        </is>
      </c>
      <c r="U30" t="n">
        <v>3</v>
      </c>
      <c r="V30" t="n">
        <v>3</v>
      </c>
      <c r="W30" t="inlineStr">
        <is>
          <t>1994-09-07</t>
        </is>
      </c>
      <c r="X30" t="inlineStr">
        <is>
          <t>1994-09-07</t>
        </is>
      </c>
      <c r="Y30" t="inlineStr">
        <is>
          <t>1994-09-06</t>
        </is>
      </c>
      <c r="Z30" t="inlineStr">
        <is>
          <t>1994-09-06</t>
        </is>
      </c>
      <c r="AA30" t="n">
        <v>21</v>
      </c>
      <c r="AB30" t="n">
        <v>14</v>
      </c>
      <c r="AC30" t="n">
        <v>99</v>
      </c>
      <c r="AD30" t="n">
        <v>1</v>
      </c>
      <c r="AE30" t="n">
        <v>2</v>
      </c>
      <c r="AF30" t="n">
        <v>0</v>
      </c>
      <c r="AG30" t="n">
        <v>2</v>
      </c>
      <c r="AH30" t="n">
        <v>0</v>
      </c>
      <c r="AI30" t="n">
        <v>0</v>
      </c>
      <c r="AJ30" t="n">
        <v>0</v>
      </c>
      <c r="AK30" t="n">
        <v>0</v>
      </c>
      <c r="AL30" t="n">
        <v>0</v>
      </c>
      <c r="AM30" t="n">
        <v>1</v>
      </c>
      <c r="AN30" t="n">
        <v>0</v>
      </c>
      <c r="AO30" t="n">
        <v>1</v>
      </c>
      <c r="AP30" t="n">
        <v>0</v>
      </c>
      <c r="AQ30" t="n">
        <v>0</v>
      </c>
      <c r="AR30" t="inlineStr">
        <is>
          <t>No</t>
        </is>
      </c>
      <c r="AS30" t="inlineStr">
        <is>
          <t>No</t>
        </is>
      </c>
      <c r="AU30">
        <f>HYPERLINK("https://creighton-primo.hosted.exlibrisgroup.com/primo-explore/search?tab=default_tab&amp;search_scope=EVERYTHING&amp;vid=01CRU&amp;lang=en_US&amp;offset=0&amp;query=any,contains,991000673229702656","Catalog Record")</f>
        <v/>
      </c>
      <c r="AV30">
        <f>HYPERLINK("http://www.worldcat.org/oclc/28888176","WorldCat Record")</f>
        <v/>
      </c>
      <c r="AW30" t="inlineStr">
        <is>
          <t>809271669:eng</t>
        </is>
      </c>
      <c r="AX30" t="inlineStr">
        <is>
          <t>28888176</t>
        </is>
      </c>
      <c r="AY30" t="inlineStr">
        <is>
          <t>991000673229702656</t>
        </is>
      </c>
      <c r="AZ30" t="inlineStr">
        <is>
          <t>991000673229702656</t>
        </is>
      </c>
      <c r="BA30" t="inlineStr">
        <is>
          <t>2264025170002656</t>
        </is>
      </c>
      <c r="BB30" t="inlineStr">
        <is>
          <t>BOOK</t>
        </is>
      </c>
      <c r="BD30" t="inlineStr">
        <is>
          <t>9780471588320</t>
        </is>
      </c>
      <c r="BE30" t="inlineStr">
        <is>
          <t>30001002696385</t>
        </is>
      </c>
      <c r="BF30" t="inlineStr">
        <is>
          <t>893831003</t>
        </is>
      </c>
    </row>
    <row r="31">
      <c r="A31" t="inlineStr">
        <is>
          <t>No</t>
        </is>
      </c>
      <c r="B31" t="inlineStr">
        <is>
          <t>CUHSL</t>
        </is>
      </c>
      <c r="C31" t="inlineStr">
        <is>
          <t>SHELVES</t>
        </is>
      </c>
      <c r="D31" t="inlineStr">
        <is>
          <t>W 1 PR668E 1993 v.380</t>
        </is>
      </c>
      <c r="E31" t="inlineStr">
        <is>
          <t>0                      W  0001000PR 668E        1993                                        v.380</t>
        </is>
      </c>
      <c r="F31" t="inlineStr">
        <is>
          <t>Essential and toxic trace elements in human health and disease : an update / editor, Ananda S. Prasad.</t>
        </is>
      </c>
      <c r="G31" t="inlineStr">
        <is>
          <t>V.380</t>
        </is>
      </c>
      <c r="H31" t="inlineStr">
        <is>
          <t>No</t>
        </is>
      </c>
      <c r="I31" t="inlineStr">
        <is>
          <t>1</t>
        </is>
      </c>
      <c r="J31" t="inlineStr">
        <is>
          <t>No</t>
        </is>
      </c>
      <c r="K31" t="inlineStr">
        <is>
          <t>No</t>
        </is>
      </c>
      <c r="L31" t="inlineStr">
        <is>
          <t>0</t>
        </is>
      </c>
      <c r="N31" t="inlineStr">
        <is>
          <t>New York : Wiley-Liss, c1993.</t>
        </is>
      </c>
      <c r="O31" t="inlineStr">
        <is>
          <t>1993</t>
        </is>
      </c>
      <c r="Q31" t="inlineStr">
        <is>
          <t>eng</t>
        </is>
      </c>
      <c r="R31" t="inlineStr">
        <is>
          <t>nyu</t>
        </is>
      </c>
      <c r="S31" t="inlineStr">
        <is>
          <t>Progress in clinical and biological research ; v. 380</t>
        </is>
      </c>
      <c r="T31" t="inlineStr">
        <is>
          <t xml:space="preserve">W  </t>
        </is>
      </c>
      <c r="U31" t="n">
        <v>10</v>
      </c>
      <c r="V31" t="n">
        <v>10</v>
      </c>
      <c r="W31" t="inlineStr">
        <is>
          <t>1998-02-25</t>
        </is>
      </c>
      <c r="X31" t="inlineStr">
        <is>
          <t>1998-02-25</t>
        </is>
      </c>
      <c r="Y31" t="inlineStr">
        <is>
          <t>1994-09-06</t>
        </is>
      </c>
      <c r="Z31" t="inlineStr">
        <is>
          <t>1994-09-06</t>
        </is>
      </c>
      <c r="AA31" t="n">
        <v>161</v>
      </c>
      <c r="AB31" t="n">
        <v>130</v>
      </c>
      <c r="AC31" t="n">
        <v>132</v>
      </c>
      <c r="AD31" t="n">
        <v>1</v>
      </c>
      <c r="AE31" t="n">
        <v>1</v>
      </c>
      <c r="AF31" t="n">
        <v>2</v>
      </c>
      <c r="AG31" t="n">
        <v>2</v>
      </c>
      <c r="AH31" t="n">
        <v>0</v>
      </c>
      <c r="AI31" t="n">
        <v>0</v>
      </c>
      <c r="AJ31" t="n">
        <v>1</v>
      </c>
      <c r="AK31" t="n">
        <v>1</v>
      </c>
      <c r="AL31" t="n">
        <v>1</v>
      </c>
      <c r="AM31" t="n">
        <v>1</v>
      </c>
      <c r="AN31" t="n">
        <v>0</v>
      </c>
      <c r="AO31" t="n">
        <v>0</v>
      </c>
      <c r="AP31" t="n">
        <v>0</v>
      </c>
      <c r="AQ31" t="n">
        <v>0</v>
      </c>
      <c r="AR31" t="inlineStr">
        <is>
          <t>No</t>
        </is>
      </c>
      <c r="AS31" t="inlineStr">
        <is>
          <t>Yes</t>
        </is>
      </c>
      <c r="AT31">
        <f>HYPERLINK("http://catalog.hathitrust.org/Record/002610310","HathiTrust Record")</f>
        <v/>
      </c>
      <c r="AU31">
        <f>HYPERLINK("https://creighton-primo.hosted.exlibrisgroup.com/primo-explore/search?tab=default_tab&amp;search_scope=EVERYTHING&amp;vid=01CRU&amp;lang=en_US&amp;offset=0&amp;query=any,contains,991000673279702656","Catalog Record")</f>
        <v/>
      </c>
      <c r="AV31">
        <f>HYPERLINK("http://www.worldcat.org/oclc/26675153","WorldCat Record")</f>
        <v/>
      </c>
      <c r="AW31" t="inlineStr">
        <is>
          <t>802443843:eng</t>
        </is>
      </c>
      <c r="AX31" t="inlineStr">
        <is>
          <t>26675153</t>
        </is>
      </c>
      <c r="AY31" t="inlineStr">
        <is>
          <t>991000673279702656</t>
        </is>
      </c>
      <c r="AZ31" t="inlineStr">
        <is>
          <t>991000673279702656</t>
        </is>
      </c>
      <c r="BA31" t="inlineStr">
        <is>
          <t>2267489500002656</t>
        </is>
      </c>
      <c r="BB31" t="inlineStr">
        <is>
          <t>BOOK</t>
        </is>
      </c>
      <c r="BD31" t="inlineStr">
        <is>
          <t>9780471591092</t>
        </is>
      </c>
      <c r="BE31" t="inlineStr">
        <is>
          <t>30001002696393</t>
        </is>
      </c>
      <c r="BF31" t="inlineStr">
        <is>
          <t>893277932</t>
        </is>
      </c>
    </row>
    <row r="32">
      <c r="A32" t="inlineStr">
        <is>
          <t>No</t>
        </is>
      </c>
      <c r="B32" t="inlineStr">
        <is>
          <t>CUHSL</t>
        </is>
      </c>
      <c r="C32" t="inlineStr">
        <is>
          <t>SHELVES</t>
        </is>
      </c>
      <c r="D32" t="inlineStr">
        <is>
          <t>W 1 S561n 1957</t>
        </is>
      </c>
      <c r="E32" t="inlineStr">
        <is>
          <t>0                      W  0001000S  561n        1957</t>
        </is>
      </c>
      <c r="F32" t="inlineStr">
        <is>
          <t>National Tuberculosis Association, 1904-1954 : a study of the voluntary health movement in the United States.</t>
        </is>
      </c>
      <c r="H32" t="inlineStr">
        <is>
          <t>No</t>
        </is>
      </c>
      <c r="I32" t="inlineStr">
        <is>
          <t>1</t>
        </is>
      </c>
      <c r="J32" t="inlineStr">
        <is>
          <t>No</t>
        </is>
      </c>
      <c r="K32" t="inlineStr">
        <is>
          <t>No</t>
        </is>
      </c>
      <c r="L32" t="inlineStr">
        <is>
          <t>0</t>
        </is>
      </c>
      <c r="M32" t="inlineStr">
        <is>
          <t>Shryock, Richard Harrison, 1893-1972 editor.</t>
        </is>
      </c>
      <c r="N32" t="inlineStr">
        <is>
          <t>New York : National Tuberculosis Association, 1957.</t>
        </is>
      </c>
      <c r="O32" t="inlineStr">
        <is>
          <t>1957</t>
        </is>
      </c>
      <c r="Q32" t="inlineStr">
        <is>
          <t>eng</t>
        </is>
      </c>
      <c r="R32" t="inlineStr">
        <is>
          <t>nyu</t>
        </is>
      </c>
      <c r="S32" t="inlineStr">
        <is>
          <t>National Tuberculosis Association. Historical series, no. 8</t>
        </is>
      </c>
      <c r="T32" t="inlineStr">
        <is>
          <t xml:space="preserve">W  </t>
        </is>
      </c>
      <c r="U32" t="n">
        <v>1</v>
      </c>
      <c r="V32" t="n">
        <v>1</v>
      </c>
      <c r="W32" t="inlineStr">
        <is>
          <t>1998-02-22</t>
        </is>
      </c>
      <c r="X32" t="inlineStr">
        <is>
          <t>1998-02-22</t>
        </is>
      </c>
      <c r="Y32" t="inlineStr">
        <is>
          <t>1989-02-14</t>
        </is>
      </c>
      <c r="Z32" t="inlineStr">
        <is>
          <t>1989-02-14</t>
        </is>
      </c>
      <c r="AA32" t="n">
        <v>145</v>
      </c>
      <c r="AB32" t="n">
        <v>139</v>
      </c>
      <c r="AC32" t="n">
        <v>205</v>
      </c>
      <c r="AD32" t="n">
        <v>2</v>
      </c>
      <c r="AE32" t="n">
        <v>2</v>
      </c>
      <c r="AF32" t="n">
        <v>4</v>
      </c>
      <c r="AG32" t="n">
        <v>5</v>
      </c>
      <c r="AH32" t="n">
        <v>1</v>
      </c>
      <c r="AI32" t="n">
        <v>2</v>
      </c>
      <c r="AJ32" t="n">
        <v>1</v>
      </c>
      <c r="AK32" t="n">
        <v>1</v>
      </c>
      <c r="AL32" t="n">
        <v>1</v>
      </c>
      <c r="AM32" t="n">
        <v>1</v>
      </c>
      <c r="AN32" t="n">
        <v>1</v>
      </c>
      <c r="AO32" t="n">
        <v>1</v>
      </c>
      <c r="AP32" t="n">
        <v>0</v>
      </c>
      <c r="AQ32" t="n">
        <v>0</v>
      </c>
      <c r="AR32" t="inlineStr">
        <is>
          <t>Yes</t>
        </is>
      </c>
      <c r="AS32" t="inlineStr">
        <is>
          <t>No</t>
        </is>
      </c>
      <c r="AT32">
        <f>HYPERLINK("http://catalog.hathitrust.org/Record/002093872","HathiTrust Record")</f>
        <v/>
      </c>
      <c r="AU32">
        <f>HYPERLINK("https://creighton-primo.hosted.exlibrisgroup.com/primo-explore/search?tab=default_tab&amp;search_scope=EVERYTHING&amp;vid=01CRU&amp;lang=en_US&amp;offset=0&amp;query=any,contains,991000985849702656","Catalog Record")</f>
        <v/>
      </c>
      <c r="AV32">
        <f>HYPERLINK("http://www.worldcat.org/oclc/1196828","WorldCat Record")</f>
        <v/>
      </c>
      <c r="AW32" t="inlineStr">
        <is>
          <t>2158107:eng</t>
        </is>
      </c>
      <c r="AX32" t="inlineStr">
        <is>
          <t>1196828</t>
        </is>
      </c>
      <c r="AY32" t="inlineStr">
        <is>
          <t>991000985849702656</t>
        </is>
      </c>
      <c r="AZ32" t="inlineStr">
        <is>
          <t>991000985849702656</t>
        </is>
      </c>
      <c r="BA32" t="inlineStr">
        <is>
          <t>2259797950002656</t>
        </is>
      </c>
      <c r="BB32" t="inlineStr">
        <is>
          <t>BOOK</t>
        </is>
      </c>
      <c r="BE32" t="inlineStr">
        <is>
          <t>30001000217069</t>
        </is>
      </c>
      <c r="BF32" t="inlineStr">
        <is>
          <t>893643115</t>
        </is>
      </c>
    </row>
    <row r="33">
      <c r="A33" t="inlineStr">
        <is>
          <t>No</t>
        </is>
      </c>
      <c r="B33" t="inlineStr">
        <is>
          <t>CUHSL</t>
        </is>
      </c>
      <c r="C33" t="inlineStr">
        <is>
          <t>SHELVES</t>
        </is>
      </c>
      <c r="D33" t="inlineStr">
        <is>
          <t>W 3 IN854p</t>
        </is>
      </c>
      <c r="E33" t="inlineStr">
        <is>
          <t>0                      W  0003000IN 854p</t>
        </is>
      </c>
      <c r="F33" t="inlineStr">
        <is>
          <t>Poliomyelitis : papers and discussions presented at the Second International Poliomyelitis Conference / compiled and edited for the International Poliomyelitis Congress.</t>
        </is>
      </c>
      <c r="H33" t="inlineStr">
        <is>
          <t>No</t>
        </is>
      </c>
      <c r="I33" t="inlineStr">
        <is>
          <t>1</t>
        </is>
      </c>
      <c r="J33" t="inlineStr">
        <is>
          <t>No</t>
        </is>
      </c>
      <c r="K33" t="inlineStr">
        <is>
          <t>No</t>
        </is>
      </c>
      <c r="L33" t="inlineStr">
        <is>
          <t>0</t>
        </is>
      </c>
      <c r="M33" t="inlineStr">
        <is>
          <t>International Poliomyelitis Conference (2nd : 1951 : Copenhagen, Denmark)</t>
        </is>
      </c>
      <c r="N33" t="inlineStr">
        <is>
          <t>Philadelphia : Lippincott, c1952.</t>
        </is>
      </c>
      <c r="O33" t="inlineStr">
        <is>
          <t>1952</t>
        </is>
      </c>
      <c r="Q33" t="inlineStr">
        <is>
          <t>eng</t>
        </is>
      </c>
      <c r="R33" t="inlineStr">
        <is>
          <t>pau</t>
        </is>
      </c>
      <c r="T33" t="inlineStr">
        <is>
          <t xml:space="preserve">W  </t>
        </is>
      </c>
      <c r="U33" t="n">
        <v>3</v>
      </c>
      <c r="V33" t="n">
        <v>3</v>
      </c>
      <c r="W33" t="inlineStr">
        <is>
          <t>2009-03-31</t>
        </is>
      </c>
      <c r="X33" t="inlineStr">
        <is>
          <t>2009-03-31</t>
        </is>
      </c>
      <c r="Y33" t="inlineStr">
        <is>
          <t>1990-07-16</t>
        </is>
      </c>
      <c r="Z33" t="inlineStr">
        <is>
          <t>1990-07-16</t>
        </is>
      </c>
      <c r="AA33" t="n">
        <v>41</v>
      </c>
      <c r="AB33" t="n">
        <v>29</v>
      </c>
      <c r="AC33" t="n">
        <v>29</v>
      </c>
      <c r="AD33" t="n">
        <v>1</v>
      </c>
      <c r="AE33" t="n">
        <v>1</v>
      </c>
      <c r="AF33" t="n">
        <v>3</v>
      </c>
      <c r="AG33" t="n">
        <v>3</v>
      </c>
      <c r="AH33" t="n">
        <v>1</v>
      </c>
      <c r="AI33" t="n">
        <v>1</v>
      </c>
      <c r="AJ33" t="n">
        <v>1</v>
      </c>
      <c r="AK33" t="n">
        <v>1</v>
      </c>
      <c r="AL33" t="n">
        <v>2</v>
      </c>
      <c r="AM33" t="n">
        <v>2</v>
      </c>
      <c r="AN33" t="n">
        <v>0</v>
      </c>
      <c r="AO33" t="n">
        <v>0</v>
      </c>
      <c r="AP33" t="n">
        <v>0</v>
      </c>
      <c r="AQ33" t="n">
        <v>0</v>
      </c>
      <c r="AR33" t="inlineStr">
        <is>
          <t>No</t>
        </is>
      </c>
      <c r="AS33" t="inlineStr">
        <is>
          <t>No</t>
        </is>
      </c>
      <c r="AU33">
        <f>HYPERLINK("https://creighton-primo.hosted.exlibrisgroup.com/primo-explore/search?tab=default_tab&amp;search_scope=EVERYTHING&amp;vid=01CRU&amp;lang=en_US&amp;offset=0&amp;query=any,contains,991000986689702656","Catalog Record")</f>
        <v/>
      </c>
      <c r="AV33">
        <f>HYPERLINK("http://www.worldcat.org/oclc/8525104","WorldCat Record")</f>
        <v/>
      </c>
      <c r="AW33" t="inlineStr">
        <is>
          <t>5621122635:eng</t>
        </is>
      </c>
      <c r="AX33" t="inlineStr">
        <is>
          <t>8525104</t>
        </is>
      </c>
      <c r="AY33" t="inlineStr">
        <is>
          <t>991000986689702656</t>
        </is>
      </c>
      <c r="AZ33" t="inlineStr">
        <is>
          <t>991000986689702656</t>
        </is>
      </c>
      <c r="BA33" t="inlineStr">
        <is>
          <t>2271582390002656</t>
        </is>
      </c>
      <c r="BB33" t="inlineStr">
        <is>
          <t>BOOK</t>
        </is>
      </c>
      <c r="BE33" t="inlineStr">
        <is>
          <t>30001000218315</t>
        </is>
      </c>
      <c r="BF33" t="inlineStr">
        <is>
          <t>893161599</t>
        </is>
      </c>
    </row>
    <row r="34">
      <c r="A34" t="inlineStr">
        <is>
          <t>No</t>
        </is>
      </c>
      <c r="B34" t="inlineStr">
        <is>
          <t>CUHSL</t>
        </is>
      </c>
      <c r="C34" t="inlineStr">
        <is>
          <t>SHELVES</t>
        </is>
      </c>
      <c r="D34" t="inlineStr">
        <is>
          <t>W 3 IN854p</t>
        </is>
      </c>
      <c r="E34" t="inlineStr">
        <is>
          <t>0                      W  0003000IN 854p</t>
        </is>
      </c>
      <c r="F34" t="inlineStr">
        <is>
          <t>Poliomyelitis : papers and discussions presented at the First International Poliomyelitis Conference, July 12-17, 1948.</t>
        </is>
      </c>
      <c r="H34" t="inlineStr">
        <is>
          <t>No</t>
        </is>
      </c>
      <c r="I34" t="inlineStr">
        <is>
          <t>1</t>
        </is>
      </c>
      <c r="J34" t="inlineStr">
        <is>
          <t>No</t>
        </is>
      </c>
      <c r="K34" t="inlineStr">
        <is>
          <t>No</t>
        </is>
      </c>
      <c r="L34" t="inlineStr">
        <is>
          <t>0</t>
        </is>
      </c>
      <c r="M34" t="inlineStr">
        <is>
          <t>International Poliomyelitis Congress.</t>
        </is>
      </c>
      <c r="N34" t="inlineStr">
        <is>
          <t>Philadelphia : J. B. Lippincott Co., [1949]</t>
        </is>
      </c>
      <c r="O34" t="inlineStr">
        <is>
          <t>1948</t>
        </is>
      </c>
      <c r="Q34" t="inlineStr">
        <is>
          <t>eng</t>
        </is>
      </c>
      <c r="R34" t="inlineStr">
        <is>
          <t>pau</t>
        </is>
      </c>
      <c r="T34" t="inlineStr">
        <is>
          <t xml:space="preserve">W  </t>
        </is>
      </c>
      <c r="U34" t="n">
        <v>2</v>
      </c>
      <c r="V34" t="n">
        <v>2</v>
      </c>
      <c r="W34" t="inlineStr">
        <is>
          <t>2004-10-14</t>
        </is>
      </c>
      <c r="X34" t="inlineStr">
        <is>
          <t>2004-10-14</t>
        </is>
      </c>
      <c r="Y34" t="inlineStr">
        <is>
          <t>1988-03-28</t>
        </is>
      </c>
      <c r="Z34" t="inlineStr">
        <is>
          <t>1988-03-28</t>
        </is>
      </c>
      <c r="AA34" t="n">
        <v>23</v>
      </c>
      <c r="AB34" t="n">
        <v>21</v>
      </c>
      <c r="AC34" t="n">
        <v>21</v>
      </c>
      <c r="AD34" t="n">
        <v>1</v>
      </c>
      <c r="AE34" t="n">
        <v>1</v>
      </c>
      <c r="AF34" t="n">
        <v>1</v>
      </c>
      <c r="AG34" t="n">
        <v>1</v>
      </c>
      <c r="AH34" t="n">
        <v>1</v>
      </c>
      <c r="AI34" t="n">
        <v>1</v>
      </c>
      <c r="AJ34" t="n">
        <v>0</v>
      </c>
      <c r="AK34" t="n">
        <v>0</v>
      </c>
      <c r="AL34" t="n">
        <v>0</v>
      </c>
      <c r="AM34" t="n">
        <v>0</v>
      </c>
      <c r="AN34" t="n">
        <v>0</v>
      </c>
      <c r="AO34" t="n">
        <v>0</v>
      </c>
      <c r="AP34" t="n">
        <v>0</v>
      </c>
      <c r="AQ34" t="n">
        <v>0</v>
      </c>
      <c r="AR34" t="inlineStr">
        <is>
          <t>No</t>
        </is>
      </c>
      <c r="AS34" t="inlineStr">
        <is>
          <t>No</t>
        </is>
      </c>
      <c r="AU34">
        <f>HYPERLINK("https://creighton-primo.hosted.exlibrisgroup.com/primo-explore/search?tab=default_tab&amp;search_scope=EVERYTHING&amp;vid=01CRU&amp;lang=en_US&amp;offset=0&amp;query=any,contains,991000986619702656","Catalog Record")</f>
        <v/>
      </c>
      <c r="AV34">
        <f>HYPERLINK("http://www.worldcat.org/oclc/3816662","WorldCat Record")</f>
        <v/>
      </c>
      <c r="AW34" t="inlineStr">
        <is>
          <t>5612325785:eng</t>
        </is>
      </c>
      <c r="AX34" t="inlineStr">
        <is>
          <t>3816662</t>
        </is>
      </c>
      <c r="AY34" t="inlineStr">
        <is>
          <t>991000986619702656</t>
        </is>
      </c>
      <c r="AZ34" t="inlineStr">
        <is>
          <t>991000986619702656</t>
        </is>
      </c>
      <c r="BA34" t="inlineStr">
        <is>
          <t>2262353110002656</t>
        </is>
      </c>
      <c r="BB34" t="inlineStr">
        <is>
          <t>BOOK</t>
        </is>
      </c>
      <c r="BE34" t="inlineStr">
        <is>
          <t>30001000218299</t>
        </is>
      </c>
      <c r="BF34" t="inlineStr">
        <is>
          <t>893560800</t>
        </is>
      </c>
    </row>
    <row r="35">
      <c r="A35" t="inlineStr">
        <is>
          <t>No</t>
        </is>
      </c>
      <c r="B35" t="inlineStr">
        <is>
          <t>CUHSL</t>
        </is>
      </c>
      <c r="C35" t="inlineStr">
        <is>
          <t>SHELVES</t>
        </is>
      </c>
      <c r="D35" t="inlineStr">
        <is>
          <t>W 3 IN854p</t>
        </is>
      </c>
      <c r="E35" t="inlineStr">
        <is>
          <t>0                      W  0003000IN 854p</t>
        </is>
      </c>
      <c r="F35" t="inlineStr">
        <is>
          <t>The fifth International Poliomyelitis Conference : July 26-28, 1960, Copenhagen : abstracts of papers presented / officers of the conference, Basil O'Connor ... [et al. ; editors, J.E. Minkenhof ... et al.].</t>
        </is>
      </c>
      <c r="H35" t="inlineStr">
        <is>
          <t>No</t>
        </is>
      </c>
      <c r="I35" t="inlineStr">
        <is>
          <t>1</t>
        </is>
      </c>
      <c r="J35" t="inlineStr">
        <is>
          <t>No</t>
        </is>
      </c>
      <c r="K35" t="inlineStr">
        <is>
          <t>No</t>
        </is>
      </c>
      <c r="L35" t="inlineStr">
        <is>
          <t>0</t>
        </is>
      </c>
      <c r="M35" t="inlineStr">
        <is>
          <t>International Poliomyelitis Conference (5th : 1960 : Copenhagen, Denmark)</t>
        </is>
      </c>
      <c r="N35" t="inlineStr">
        <is>
          <t>Amsterdam ; New York : Excerpta Medica Foundation, [1960?]</t>
        </is>
      </c>
      <c r="O35" t="inlineStr">
        <is>
          <t>1960</t>
        </is>
      </c>
      <c r="Q35" t="inlineStr">
        <is>
          <t>eng</t>
        </is>
      </c>
      <c r="R35" t="inlineStr">
        <is>
          <t xml:space="preserve">ne </t>
        </is>
      </c>
      <c r="S35" t="inlineStr">
        <is>
          <t>Excerpta medica. International congress series ; no. 27</t>
        </is>
      </c>
      <c r="T35" t="inlineStr">
        <is>
          <t xml:space="preserve">W  </t>
        </is>
      </c>
      <c r="U35" t="n">
        <v>3</v>
      </c>
      <c r="V35" t="n">
        <v>3</v>
      </c>
      <c r="W35" t="inlineStr">
        <is>
          <t>2000-02-01</t>
        </is>
      </c>
      <c r="X35" t="inlineStr">
        <is>
          <t>2000-02-01</t>
        </is>
      </c>
      <c r="Y35" t="inlineStr">
        <is>
          <t>1988-03-28</t>
        </is>
      </c>
      <c r="Z35" t="inlineStr">
        <is>
          <t>1988-03-28</t>
        </is>
      </c>
      <c r="AA35" t="n">
        <v>21</v>
      </c>
      <c r="AB35" t="n">
        <v>15</v>
      </c>
      <c r="AC35" t="n">
        <v>15</v>
      </c>
      <c r="AD35" t="n">
        <v>1</v>
      </c>
      <c r="AE35" t="n">
        <v>1</v>
      </c>
      <c r="AF35" t="n">
        <v>0</v>
      </c>
      <c r="AG35" t="n">
        <v>0</v>
      </c>
      <c r="AH35" t="n">
        <v>0</v>
      </c>
      <c r="AI35" t="n">
        <v>0</v>
      </c>
      <c r="AJ35" t="n">
        <v>0</v>
      </c>
      <c r="AK35" t="n">
        <v>0</v>
      </c>
      <c r="AL35" t="n">
        <v>0</v>
      </c>
      <c r="AM35" t="n">
        <v>0</v>
      </c>
      <c r="AN35" t="n">
        <v>0</v>
      </c>
      <c r="AO35" t="n">
        <v>0</v>
      </c>
      <c r="AP35" t="n">
        <v>0</v>
      </c>
      <c r="AQ35" t="n">
        <v>0</v>
      </c>
      <c r="AR35" t="inlineStr">
        <is>
          <t>No</t>
        </is>
      </c>
      <c r="AS35" t="inlineStr">
        <is>
          <t>No</t>
        </is>
      </c>
      <c r="AU35">
        <f>HYPERLINK("https://creighton-primo.hosted.exlibrisgroup.com/primo-explore/search?tab=default_tab&amp;search_scope=EVERYTHING&amp;vid=01CRU&amp;lang=en_US&amp;offset=0&amp;query=any,contains,991000986729702656","Catalog Record")</f>
        <v/>
      </c>
      <c r="AV35">
        <f>HYPERLINK("http://www.worldcat.org/oclc/8773281","WorldCat Record")</f>
        <v/>
      </c>
      <c r="AW35" t="inlineStr">
        <is>
          <t>5621020011:eng</t>
        </is>
      </c>
      <c r="AX35" t="inlineStr">
        <is>
          <t>8773281</t>
        </is>
      </c>
      <c r="AY35" t="inlineStr">
        <is>
          <t>991000986729702656</t>
        </is>
      </c>
      <c r="AZ35" t="inlineStr">
        <is>
          <t>991000986729702656</t>
        </is>
      </c>
      <c r="BA35" t="inlineStr">
        <is>
          <t>2270668300002656</t>
        </is>
      </c>
      <c r="BB35" t="inlineStr">
        <is>
          <t>BOOK</t>
        </is>
      </c>
      <c r="BE35" t="inlineStr">
        <is>
          <t>30001000218331</t>
        </is>
      </c>
      <c r="BF35" t="inlineStr">
        <is>
          <t>893284249</t>
        </is>
      </c>
    </row>
    <row r="36">
      <c r="A36" t="inlineStr">
        <is>
          <t>No</t>
        </is>
      </c>
      <c r="B36" t="inlineStr">
        <is>
          <t>CUHSL</t>
        </is>
      </c>
      <c r="C36" t="inlineStr">
        <is>
          <t>SHELVES</t>
        </is>
      </c>
      <c r="D36" t="inlineStr">
        <is>
          <t>W 3 IN854p 1955</t>
        </is>
      </c>
      <c r="E36" t="inlineStr">
        <is>
          <t>0                      W  0003000IN 854p        1955</t>
        </is>
      </c>
      <c r="F36" t="inlineStr">
        <is>
          <t>Poliomyelitis : papers and discussions ...</t>
        </is>
      </c>
      <c r="H36" t="inlineStr">
        <is>
          <t>No</t>
        </is>
      </c>
      <c r="I36" t="inlineStr">
        <is>
          <t>1</t>
        </is>
      </c>
      <c r="J36" t="inlineStr">
        <is>
          <t>No</t>
        </is>
      </c>
      <c r="K36" t="inlineStr">
        <is>
          <t>No</t>
        </is>
      </c>
      <c r="L36" t="inlineStr">
        <is>
          <t>0</t>
        </is>
      </c>
      <c r="M36" t="inlineStr">
        <is>
          <t>International Poliomyelitis Conference (3rd : 1954 : Rome, Italy)</t>
        </is>
      </c>
      <c r="N36" t="inlineStr">
        <is>
          <t>Philadelphia : Lippincott, c1955.</t>
        </is>
      </c>
      <c r="O36" t="inlineStr">
        <is>
          <t>1955</t>
        </is>
      </c>
      <c r="Q36" t="inlineStr">
        <is>
          <t>eng</t>
        </is>
      </c>
      <c r="R36" t="inlineStr">
        <is>
          <t>pau</t>
        </is>
      </c>
      <c r="T36" t="inlineStr">
        <is>
          <t xml:space="preserve">W  </t>
        </is>
      </c>
      <c r="U36" t="n">
        <v>2</v>
      </c>
      <c r="V36" t="n">
        <v>2</v>
      </c>
      <c r="W36" t="inlineStr">
        <is>
          <t>2004-10-14</t>
        </is>
      </c>
      <c r="X36" t="inlineStr">
        <is>
          <t>2004-10-14</t>
        </is>
      </c>
      <c r="Y36" t="inlineStr">
        <is>
          <t>1990-07-13</t>
        </is>
      </c>
      <c r="Z36" t="inlineStr">
        <is>
          <t>1990-07-13</t>
        </is>
      </c>
      <c r="AA36" t="n">
        <v>23</v>
      </c>
      <c r="AB36" t="n">
        <v>17</v>
      </c>
      <c r="AC36" t="n">
        <v>17</v>
      </c>
      <c r="AD36" t="n">
        <v>1</v>
      </c>
      <c r="AE36" t="n">
        <v>1</v>
      </c>
      <c r="AF36" t="n">
        <v>1</v>
      </c>
      <c r="AG36" t="n">
        <v>1</v>
      </c>
      <c r="AH36" t="n">
        <v>0</v>
      </c>
      <c r="AI36" t="n">
        <v>0</v>
      </c>
      <c r="AJ36" t="n">
        <v>1</v>
      </c>
      <c r="AK36" t="n">
        <v>1</v>
      </c>
      <c r="AL36" t="n">
        <v>1</v>
      </c>
      <c r="AM36" t="n">
        <v>1</v>
      </c>
      <c r="AN36" t="n">
        <v>0</v>
      </c>
      <c r="AO36" t="n">
        <v>0</v>
      </c>
      <c r="AP36" t="n">
        <v>0</v>
      </c>
      <c r="AQ36" t="n">
        <v>0</v>
      </c>
      <c r="AR36" t="inlineStr">
        <is>
          <t>No</t>
        </is>
      </c>
      <c r="AS36" t="inlineStr">
        <is>
          <t>No</t>
        </is>
      </c>
      <c r="AU36">
        <f>HYPERLINK("https://creighton-primo.hosted.exlibrisgroup.com/primo-explore/search?tab=default_tab&amp;search_scope=EVERYTHING&amp;vid=01CRU&amp;lang=en_US&amp;offset=0&amp;query=any,contains,991000986769702656","Catalog Record")</f>
        <v/>
      </c>
      <c r="AV36">
        <f>HYPERLINK("http://www.worldcat.org/oclc/9920725","WorldCat Record")</f>
        <v/>
      </c>
      <c r="AW36" t="inlineStr">
        <is>
          <t>3862692506:eng</t>
        </is>
      </c>
      <c r="AX36" t="inlineStr">
        <is>
          <t>9920725</t>
        </is>
      </c>
      <c r="AY36" t="inlineStr">
        <is>
          <t>991000986769702656</t>
        </is>
      </c>
      <c r="AZ36" t="inlineStr">
        <is>
          <t>991000986769702656</t>
        </is>
      </c>
      <c r="BA36" t="inlineStr">
        <is>
          <t>2262082140002656</t>
        </is>
      </c>
      <c r="BB36" t="inlineStr">
        <is>
          <t>BOOK</t>
        </is>
      </c>
      <c r="BE36" t="inlineStr">
        <is>
          <t>30001000218323</t>
        </is>
      </c>
      <c r="BF36" t="inlineStr">
        <is>
          <t>893736112</t>
        </is>
      </c>
    </row>
    <row r="37">
      <c r="A37" t="inlineStr">
        <is>
          <t>No</t>
        </is>
      </c>
      <c r="B37" t="inlineStr">
        <is>
          <t>CUHSL</t>
        </is>
      </c>
      <c r="C37" t="inlineStr">
        <is>
          <t>SHELVES</t>
        </is>
      </c>
      <c r="D37" t="inlineStr">
        <is>
          <t>W 3 IN854p 1957</t>
        </is>
      </c>
      <c r="E37" t="inlineStr">
        <is>
          <t>0                      W  0003000IN 854p        1957</t>
        </is>
      </c>
      <c r="F37" t="inlineStr">
        <is>
          <t>Poliomyelitis : papers and discussions presented at the Fourth International Poliomyelitis Conference / compiled and edited for the International Poliomyelitis Congress.</t>
        </is>
      </c>
      <c r="H37" t="inlineStr">
        <is>
          <t>No</t>
        </is>
      </c>
      <c r="I37" t="inlineStr">
        <is>
          <t>1</t>
        </is>
      </c>
      <c r="J37" t="inlineStr">
        <is>
          <t>No</t>
        </is>
      </c>
      <c r="K37" t="inlineStr">
        <is>
          <t>No</t>
        </is>
      </c>
      <c r="L37" t="inlineStr">
        <is>
          <t>0</t>
        </is>
      </c>
      <c r="M37" t="inlineStr">
        <is>
          <t>International Poliomyelitis Congress (4th : 1957 : Geneva, Switzerland)</t>
        </is>
      </c>
      <c r="N37" t="inlineStr">
        <is>
          <t>Philadelphia : Lippincott, c1958.</t>
        </is>
      </c>
      <c r="O37" t="inlineStr">
        <is>
          <t>1958</t>
        </is>
      </c>
      <c r="Q37" t="inlineStr">
        <is>
          <t>eng</t>
        </is>
      </c>
      <c r="R37" t="inlineStr">
        <is>
          <t>pau</t>
        </is>
      </c>
      <c r="T37" t="inlineStr">
        <is>
          <t xml:space="preserve">W  </t>
        </is>
      </c>
      <c r="U37" t="n">
        <v>1</v>
      </c>
      <c r="V37" t="n">
        <v>1</v>
      </c>
      <c r="W37" t="inlineStr">
        <is>
          <t>2004-10-14</t>
        </is>
      </c>
      <c r="X37" t="inlineStr">
        <is>
          <t>2004-10-14</t>
        </is>
      </c>
      <c r="Y37" t="inlineStr">
        <is>
          <t>1989-03-02</t>
        </is>
      </c>
      <c r="Z37" t="inlineStr">
        <is>
          <t>1989-03-02</t>
        </is>
      </c>
      <c r="AA37" t="n">
        <v>30</v>
      </c>
      <c r="AB37" t="n">
        <v>23</v>
      </c>
      <c r="AC37" t="n">
        <v>23</v>
      </c>
      <c r="AD37" t="n">
        <v>1</v>
      </c>
      <c r="AE37" t="n">
        <v>1</v>
      </c>
      <c r="AF37" t="n">
        <v>3</v>
      </c>
      <c r="AG37" t="n">
        <v>3</v>
      </c>
      <c r="AH37" t="n">
        <v>0</v>
      </c>
      <c r="AI37" t="n">
        <v>0</v>
      </c>
      <c r="AJ37" t="n">
        <v>2</v>
      </c>
      <c r="AK37" t="n">
        <v>2</v>
      </c>
      <c r="AL37" t="n">
        <v>2</v>
      </c>
      <c r="AM37" t="n">
        <v>2</v>
      </c>
      <c r="AN37" t="n">
        <v>0</v>
      </c>
      <c r="AO37" t="n">
        <v>0</v>
      </c>
      <c r="AP37" t="n">
        <v>0</v>
      </c>
      <c r="AQ37" t="n">
        <v>0</v>
      </c>
      <c r="AR37" t="inlineStr">
        <is>
          <t>No</t>
        </is>
      </c>
      <c r="AS37" t="inlineStr">
        <is>
          <t>No</t>
        </is>
      </c>
      <c r="AU37">
        <f>HYPERLINK("https://creighton-primo.hosted.exlibrisgroup.com/primo-explore/search?tab=default_tab&amp;search_scope=EVERYTHING&amp;vid=01CRU&amp;lang=en_US&amp;offset=0&amp;query=any,contains,991000986799702656","Catalog Record")</f>
        <v/>
      </c>
      <c r="AV37">
        <f>HYPERLINK("http://www.worldcat.org/oclc/6883962","WorldCat Record")</f>
        <v/>
      </c>
      <c r="AW37" t="inlineStr">
        <is>
          <t>8910510690:eng</t>
        </is>
      </c>
      <c r="AX37" t="inlineStr">
        <is>
          <t>6883962</t>
        </is>
      </c>
      <c r="AY37" t="inlineStr">
        <is>
          <t>991000986799702656</t>
        </is>
      </c>
      <c r="AZ37" t="inlineStr">
        <is>
          <t>991000986799702656</t>
        </is>
      </c>
      <c r="BA37" t="inlineStr">
        <is>
          <t>2262914100002656</t>
        </is>
      </c>
      <c r="BB37" t="inlineStr">
        <is>
          <t>BOOK</t>
        </is>
      </c>
      <c r="BE37" t="inlineStr">
        <is>
          <t>30001000218356</t>
        </is>
      </c>
      <c r="BF37" t="inlineStr">
        <is>
          <t>893815983</t>
        </is>
      </c>
    </row>
    <row r="38">
      <c r="A38" t="inlineStr">
        <is>
          <t>No</t>
        </is>
      </c>
      <c r="B38" t="inlineStr">
        <is>
          <t>CUHSL</t>
        </is>
      </c>
      <c r="C38" t="inlineStr">
        <is>
          <t>SHELVES</t>
        </is>
      </c>
      <c r="D38" t="inlineStr">
        <is>
          <t>W3 IN922P 3d 1975i</t>
        </is>
      </c>
      <c r="E38" t="inlineStr">
        <is>
          <t>0                      W  0003000IN 922P                                                    3d 1975i</t>
        </is>
      </c>
      <c r="F38" t="inlineStr">
        <is>
          <t>Infections of the urinary tract : proceedings of the Third International Symposium on Pyelonephritis / edited by Edward H. Kass and William Brumfitt.</t>
        </is>
      </c>
      <c r="H38" t="inlineStr">
        <is>
          <t>No</t>
        </is>
      </c>
      <c r="I38" t="inlineStr">
        <is>
          <t>1</t>
        </is>
      </c>
      <c r="J38" t="inlineStr">
        <is>
          <t>No</t>
        </is>
      </c>
      <c r="K38" t="inlineStr">
        <is>
          <t>No</t>
        </is>
      </c>
      <c r="L38" t="inlineStr">
        <is>
          <t>0</t>
        </is>
      </c>
      <c r="M38" t="inlineStr">
        <is>
          <t>International Symposium on Pyelonephritis (3rd : 1975 : London, England)</t>
        </is>
      </c>
      <c r="N38" t="inlineStr">
        <is>
          <t>-- Chicago : University of Chicago Press, c1978.</t>
        </is>
      </c>
      <c r="O38" t="inlineStr">
        <is>
          <t>1978</t>
        </is>
      </c>
      <c r="Q38" t="inlineStr">
        <is>
          <t>eng</t>
        </is>
      </c>
      <c r="R38" t="inlineStr">
        <is>
          <t>ilu</t>
        </is>
      </c>
      <c r="S38" t="inlineStr">
        <is>
          <t>Studies in infectious disease research</t>
        </is>
      </c>
      <c r="T38" t="inlineStr">
        <is>
          <t xml:space="preserve">W  </t>
        </is>
      </c>
      <c r="U38" t="n">
        <v>6</v>
      </c>
      <c r="V38" t="n">
        <v>6</v>
      </c>
      <c r="W38" t="inlineStr">
        <is>
          <t>1990-04-23</t>
        </is>
      </c>
      <c r="X38" t="inlineStr">
        <is>
          <t>1990-04-23</t>
        </is>
      </c>
      <c r="Y38" t="inlineStr">
        <is>
          <t>1989-07-12</t>
        </is>
      </c>
      <c r="Z38" t="inlineStr">
        <is>
          <t>1989-07-12</t>
        </is>
      </c>
      <c r="AA38" t="n">
        <v>114</v>
      </c>
      <c r="AB38" t="n">
        <v>90</v>
      </c>
      <c r="AC38" t="n">
        <v>90</v>
      </c>
      <c r="AD38" t="n">
        <v>2</v>
      </c>
      <c r="AE38" t="n">
        <v>2</v>
      </c>
      <c r="AF38" t="n">
        <v>4</v>
      </c>
      <c r="AG38" t="n">
        <v>4</v>
      </c>
      <c r="AH38" t="n">
        <v>0</v>
      </c>
      <c r="AI38" t="n">
        <v>0</v>
      </c>
      <c r="AJ38" t="n">
        <v>1</v>
      </c>
      <c r="AK38" t="n">
        <v>1</v>
      </c>
      <c r="AL38" t="n">
        <v>3</v>
      </c>
      <c r="AM38" t="n">
        <v>3</v>
      </c>
      <c r="AN38" t="n">
        <v>1</v>
      </c>
      <c r="AO38" t="n">
        <v>1</v>
      </c>
      <c r="AP38" t="n">
        <v>0</v>
      </c>
      <c r="AQ38" t="n">
        <v>0</v>
      </c>
      <c r="AR38" t="inlineStr">
        <is>
          <t>No</t>
        </is>
      </c>
      <c r="AS38" t="inlineStr">
        <is>
          <t>No</t>
        </is>
      </c>
      <c r="AU38">
        <f>HYPERLINK("https://creighton-primo.hosted.exlibrisgroup.com/primo-explore/search?tab=default_tab&amp;search_scope=EVERYTHING&amp;vid=01CRU&amp;lang=en_US&amp;offset=0&amp;query=any,contains,991001260329702656","Catalog Record")</f>
        <v/>
      </c>
      <c r="AV38">
        <f>HYPERLINK("http://www.worldcat.org/oclc/4003541","WorldCat Record")</f>
        <v/>
      </c>
      <c r="AW38" t="inlineStr">
        <is>
          <t>1104000486:eng</t>
        </is>
      </c>
      <c r="AX38" t="inlineStr">
        <is>
          <t>4003541</t>
        </is>
      </c>
      <c r="AY38" t="inlineStr">
        <is>
          <t>991001260329702656</t>
        </is>
      </c>
      <c r="AZ38" t="inlineStr">
        <is>
          <t>991001260329702656</t>
        </is>
      </c>
      <c r="BA38" t="inlineStr">
        <is>
          <t>2267738400002656</t>
        </is>
      </c>
      <c r="BB38" t="inlineStr">
        <is>
          <t>BOOK</t>
        </is>
      </c>
      <c r="BD38" t="inlineStr">
        <is>
          <t>9780226425665</t>
        </is>
      </c>
      <c r="BE38" t="inlineStr">
        <is>
          <t>30001000351025</t>
        </is>
      </c>
      <c r="BF38" t="inlineStr">
        <is>
          <t>893450993</t>
        </is>
      </c>
    </row>
    <row r="39">
      <c r="A39" t="inlineStr">
        <is>
          <t>No</t>
        </is>
      </c>
      <c r="B39" t="inlineStr">
        <is>
          <t>CUHSL</t>
        </is>
      </c>
      <c r="C39" t="inlineStr">
        <is>
          <t>SHELVES</t>
        </is>
      </c>
      <c r="D39" t="inlineStr">
        <is>
          <t>W 3 SY5177 11th 1957</t>
        </is>
      </c>
      <c r="E39" t="inlineStr">
        <is>
          <t>0                      W  0003000SY 5177                                                    11th 1957</t>
        </is>
      </c>
      <c r="F39" t="inlineStr">
        <is>
          <t>Viruses and tumor growth; [proceedings.</t>
        </is>
      </c>
      <c r="H39" t="inlineStr">
        <is>
          <t>No</t>
        </is>
      </c>
      <c r="I39" t="inlineStr">
        <is>
          <t>1</t>
        </is>
      </c>
      <c r="J39" t="inlineStr">
        <is>
          <t>No</t>
        </is>
      </c>
      <c r="K39" t="inlineStr">
        <is>
          <t>No</t>
        </is>
      </c>
      <c r="L39" t="inlineStr">
        <is>
          <t>0</t>
        </is>
      </c>
      <c r="M39" t="inlineStr">
        <is>
          <t>Symposium on Fundamental Cancer Research (11th : 1957 : M.D. Anderson Hospital and Tumor Institute)</t>
        </is>
      </c>
      <c r="Q39" t="inlineStr">
        <is>
          <t>eng</t>
        </is>
      </c>
      <c r="R39" t="inlineStr">
        <is>
          <t>|||</t>
        </is>
      </c>
      <c r="T39" t="inlineStr">
        <is>
          <t xml:space="preserve">W  </t>
        </is>
      </c>
      <c r="U39" t="n">
        <v>2</v>
      </c>
      <c r="V39" t="n">
        <v>2</v>
      </c>
      <c r="W39" t="inlineStr">
        <is>
          <t>1996-10-02</t>
        </is>
      </c>
      <c r="X39" t="inlineStr">
        <is>
          <t>1996-10-02</t>
        </is>
      </c>
      <c r="Y39" t="inlineStr">
        <is>
          <t>1989-02-24</t>
        </is>
      </c>
      <c r="Z39" t="inlineStr">
        <is>
          <t>1989-02-24</t>
        </is>
      </c>
      <c r="AA39" t="n">
        <v>24</v>
      </c>
      <c r="AB39" t="n">
        <v>24</v>
      </c>
      <c r="AC39" t="n">
        <v>47</v>
      </c>
      <c r="AD39" t="n">
        <v>1</v>
      </c>
      <c r="AE39" t="n">
        <v>1</v>
      </c>
      <c r="AF39" t="n">
        <v>0</v>
      </c>
      <c r="AG39" t="n">
        <v>0</v>
      </c>
      <c r="AH39" t="n">
        <v>0</v>
      </c>
      <c r="AI39" t="n">
        <v>0</v>
      </c>
      <c r="AJ39" t="n">
        <v>0</v>
      </c>
      <c r="AK39" t="n">
        <v>0</v>
      </c>
      <c r="AL39" t="n">
        <v>0</v>
      </c>
      <c r="AM39" t="n">
        <v>0</v>
      </c>
      <c r="AN39" t="n">
        <v>0</v>
      </c>
      <c r="AO39" t="n">
        <v>0</v>
      </c>
      <c r="AP39" t="n">
        <v>0</v>
      </c>
      <c r="AQ39" t="n">
        <v>0</v>
      </c>
      <c r="AR39" t="inlineStr">
        <is>
          <t>No</t>
        </is>
      </c>
      <c r="AS39" t="inlineStr">
        <is>
          <t>No</t>
        </is>
      </c>
      <c r="AU39">
        <f>HYPERLINK("https://creighton-primo.hosted.exlibrisgroup.com/primo-explore/search?tab=default_tab&amp;search_scope=EVERYTHING&amp;vid=01CRU&amp;lang=en_US&amp;offset=0&amp;query=any,contains,991000987119702656","Catalog Record")</f>
        <v/>
      </c>
      <c r="AV39">
        <f>HYPERLINK("http://www.worldcat.org/oclc/1417080","WorldCat Record")</f>
        <v/>
      </c>
      <c r="AW39" t="inlineStr">
        <is>
          <t>51324880:eng</t>
        </is>
      </c>
      <c r="AX39" t="inlineStr">
        <is>
          <t>1417080</t>
        </is>
      </c>
      <c r="AY39" t="inlineStr">
        <is>
          <t>991000987119702656</t>
        </is>
      </c>
      <c r="AZ39" t="inlineStr">
        <is>
          <t>991000987119702656</t>
        </is>
      </c>
      <c r="BA39" t="inlineStr">
        <is>
          <t>2261541550002656</t>
        </is>
      </c>
      <c r="BB39" t="inlineStr">
        <is>
          <t>BOOK</t>
        </is>
      </c>
      <c r="BE39" t="inlineStr">
        <is>
          <t>30001000218570</t>
        </is>
      </c>
      <c r="BF39" t="inlineStr">
        <is>
          <t>893273566</t>
        </is>
      </c>
    </row>
    <row r="40">
      <c r="A40" t="inlineStr">
        <is>
          <t>No</t>
        </is>
      </c>
      <c r="B40" t="inlineStr">
        <is>
          <t>CUHSL</t>
        </is>
      </c>
      <c r="C40" t="inlineStr">
        <is>
          <t>SHELVES</t>
        </is>
      </c>
      <c r="D40" t="inlineStr">
        <is>
          <t>W 3 SY5177 13th 1959</t>
        </is>
      </c>
      <c r="E40" t="inlineStr">
        <is>
          <t>0                      W  0003000SY 5177                                                    13th 1959</t>
        </is>
      </c>
      <c r="F40" t="inlineStr">
        <is>
          <t>Genetics and cancer : a collection of papers.</t>
        </is>
      </c>
      <c r="H40" t="inlineStr">
        <is>
          <t>No</t>
        </is>
      </c>
      <c r="I40" t="inlineStr">
        <is>
          <t>1</t>
        </is>
      </c>
      <c r="J40" t="inlineStr">
        <is>
          <t>No</t>
        </is>
      </c>
      <c r="K40" t="inlineStr">
        <is>
          <t>No</t>
        </is>
      </c>
      <c r="L40" t="inlineStr">
        <is>
          <t>0</t>
        </is>
      </c>
      <c r="M40" t="inlineStr">
        <is>
          <t>Symposium on Fundamental Cancer Research (13th : 1959 : M.D. Anderson Hospital and Tumor Institute)</t>
        </is>
      </c>
      <c r="N40" t="inlineStr">
        <is>
          <t>Austin : Published for the University of Texas M. D. Anderson Hospital and Tumor Institute, University of Texas, c1959.</t>
        </is>
      </c>
      <c r="O40" t="inlineStr">
        <is>
          <t>1959</t>
        </is>
      </c>
      <c r="Q40" t="inlineStr">
        <is>
          <t>eng</t>
        </is>
      </c>
      <c r="R40" t="inlineStr">
        <is>
          <t xml:space="preserve">tx </t>
        </is>
      </c>
      <c r="T40" t="inlineStr">
        <is>
          <t xml:space="preserve">W  </t>
        </is>
      </c>
      <c r="U40" t="n">
        <v>1</v>
      </c>
      <c r="V40" t="n">
        <v>1</v>
      </c>
      <c r="W40" t="inlineStr">
        <is>
          <t>1997-10-07</t>
        </is>
      </c>
      <c r="X40" t="inlineStr">
        <is>
          <t>1997-10-07</t>
        </is>
      </c>
      <c r="Y40" t="inlineStr">
        <is>
          <t>1988-03-27</t>
        </is>
      </c>
      <c r="Z40" t="inlineStr">
        <is>
          <t>1988-03-27</t>
        </is>
      </c>
      <c r="AA40" t="n">
        <v>163</v>
      </c>
      <c r="AB40" t="n">
        <v>142</v>
      </c>
      <c r="AC40" t="n">
        <v>144</v>
      </c>
      <c r="AD40" t="n">
        <v>1</v>
      </c>
      <c r="AE40" t="n">
        <v>1</v>
      </c>
      <c r="AF40" t="n">
        <v>5</v>
      </c>
      <c r="AG40" t="n">
        <v>5</v>
      </c>
      <c r="AH40" t="n">
        <v>1</v>
      </c>
      <c r="AI40" t="n">
        <v>1</v>
      </c>
      <c r="AJ40" t="n">
        <v>1</v>
      </c>
      <c r="AK40" t="n">
        <v>1</v>
      </c>
      <c r="AL40" t="n">
        <v>4</v>
      </c>
      <c r="AM40" t="n">
        <v>4</v>
      </c>
      <c r="AN40" t="n">
        <v>0</v>
      </c>
      <c r="AO40" t="n">
        <v>0</v>
      </c>
      <c r="AP40" t="n">
        <v>0</v>
      </c>
      <c r="AQ40" t="n">
        <v>0</v>
      </c>
      <c r="AR40" t="inlineStr">
        <is>
          <t>No</t>
        </is>
      </c>
      <c r="AS40" t="inlineStr">
        <is>
          <t>No</t>
        </is>
      </c>
      <c r="AT40">
        <f>HYPERLINK("http://catalog.hathitrust.org/Record/002066802","HathiTrust Record")</f>
        <v/>
      </c>
      <c r="AU40">
        <f>HYPERLINK("https://creighton-primo.hosted.exlibrisgroup.com/primo-explore/search?tab=default_tab&amp;search_scope=EVERYTHING&amp;vid=01CRU&amp;lang=en_US&amp;offset=0&amp;query=any,contains,991000986869702656","Catalog Record")</f>
        <v/>
      </c>
      <c r="AV40">
        <f>HYPERLINK("http://www.worldcat.org/oclc/14612538","WorldCat Record")</f>
        <v/>
      </c>
      <c r="AW40" t="inlineStr">
        <is>
          <t>1812660944:eng</t>
        </is>
      </c>
      <c r="AX40" t="inlineStr">
        <is>
          <t>14612538</t>
        </is>
      </c>
      <c r="AY40" t="inlineStr">
        <is>
          <t>991000986869702656</t>
        </is>
      </c>
      <c r="AZ40" t="inlineStr">
        <is>
          <t>991000986869702656</t>
        </is>
      </c>
      <c r="BA40" t="inlineStr">
        <is>
          <t>2255650210002656</t>
        </is>
      </c>
      <c r="BB40" t="inlineStr">
        <is>
          <t>BOOK</t>
        </is>
      </c>
      <c r="BE40" t="inlineStr">
        <is>
          <t>30001000218505</t>
        </is>
      </c>
      <c r="BF40" t="inlineStr">
        <is>
          <t>893552021</t>
        </is>
      </c>
    </row>
    <row r="41">
      <c r="A41" t="inlineStr">
        <is>
          <t>No</t>
        </is>
      </c>
      <c r="B41" t="inlineStr">
        <is>
          <t>CUHSL</t>
        </is>
      </c>
      <c r="C41" t="inlineStr">
        <is>
          <t>SHELVES</t>
        </is>
      </c>
      <c r="D41" t="inlineStr">
        <is>
          <t>W 3 SY5177 16th 1962</t>
        </is>
      </c>
      <c r="E41" t="inlineStr">
        <is>
          <t>0                      W  0003000SY 5177                                                    16th 1962</t>
        </is>
      </c>
      <c r="F41" t="inlineStr">
        <is>
          <t>Conceptual advances in immunology and oncology : a collection of papers.</t>
        </is>
      </c>
      <c r="H41" t="inlineStr">
        <is>
          <t>No</t>
        </is>
      </c>
      <c r="I41" t="inlineStr">
        <is>
          <t>1</t>
        </is>
      </c>
      <c r="J41" t="inlineStr">
        <is>
          <t>No</t>
        </is>
      </c>
      <c r="K41" t="inlineStr">
        <is>
          <t>No</t>
        </is>
      </c>
      <c r="L41" t="inlineStr">
        <is>
          <t>0</t>
        </is>
      </c>
      <c r="M41" t="inlineStr">
        <is>
          <t>Symposium on Fundamental Cancer Research (16th : 1962 : M.D. Anderson Hospital and Tumor Institute)</t>
        </is>
      </c>
      <c r="N41" t="inlineStr">
        <is>
          <t>New York : Hoeber Medical Division, Harper and Row, [c1963]</t>
        </is>
      </c>
      <c r="O41" t="inlineStr">
        <is>
          <t>1963</t>
        </is>
      </c>
      <c r="Q41" t="inlineStr">
        <is>
          <t>eng</t>
        </is>
      </c>
      <c r="R41" t="inlineStr">
        <is>
          <t>nyu</t>
        </is>
      </c>
      <c r="T41" t="inlineStr">
        <is>
          <t xml:space="preserve">W  </t>
        </is>
      </c>
      <c r="U41" t="n">
        <v>1</v>
      </c>
      <c r="V41" t="n">
        <v>1</v>
      </c>
      <c r="W41" t="inlineStr">
        <is>
          <t>1998-11-09</t>
        </is>
      </c>
      <c r="X41" t="inlineStr">
        <is>
          <t>1998-11-09</t>
        </is>
      </c>
      <c r="Y41" t="inlineStr">
        <is>
          <t>1988-03-27</t>
        </is>
      </c>
      <c r="Z41" t="inlineStr">
        <is>
          <t>1988-03-27</t>
        </is>
      </c>
      <c r="AA41" t="n">
        <v>124</v>
      </c>
      <c r="AB41" t="n">
        <v>107</v>
      </c>
      <c r="AC41" t="n">
        <v>114</v>
      </c>
      <c r="AD41" t="n">
        <v>1</v>
      </c>
      <c r="AE41" t="n">
        <v>1</v>
      </c>
      <c r="AF41" t="n">
        <v>4</v>
      </c>
      <c r="AG41" t="n">
        <v>4</v>
      </c>
      <c r="AH41" t="n">
        <v>1</v>
      </c>
      <c r="AI41" t="n">
        <v>1</v>
      </c>
      <c r="AJ41" t="n">
        <v>1</v>
      </c>
      <c r="AK41" t="n">
        <v>1</v>
      </c>
      <c r="AL41" t="n">
        <v>3</v>
      </c>
      <c r="AM41" t="n">
        <v>3</v>
      </c>
      <c r="AN41" t="n">
        <v>0</v>
      </c>
      <c r="AO41" t="n">
        <v>0</v>
      </c>
      <c r="AP41" t="n">
        <v>0</v>
      </c>
      <c r="AQ41" t="n">
        <v>0</v>
      </c>
      <c r="AR41" t="inlineStr">
        <is>
          <t>Yes</t>
        </is>
      </c>
      <c r="AS41" t="inlineStr">
        <is>
          <t>No</t>
        </is>
      </c>
      <c r="AT41">
        <f>HYPERLINK("http://catalog.hathitrust.org/Record/001562523","HathiTrust Record")</f>
        <v/>
      </c>
      <c r="AU41">
        <f>HYPERLINK("https://creighton-primo.hosted.exlibrisgroup.com/primo-explore/search?tab=default_tab&amp;search_scope=EVERYTHING&amp;vid=01CRU&amp;lang=en_US&amp;offset=0&amp;query=any,contains,991000986999702656","Catalog Record")</f>
        <v/>
      </c>
      <c r="AV41">
        <f>HYPERLINK("http://www.worldcat.org/oclc/14625656","WorldCat Record")</f>
        <v/>
      </c>
      <c r="AW41" t="inlineStr">
        <is>
          <t>8907119467:eng</t>
        </is>
      </c>
      <c r="AX41" t="inlineStr">
        <is>
          <t>14625656</t>
        </is>
      </c>
      <c r="AY41" t="inlineStr">
        <is>
          <t>991000986999702656</t>
        </is>
      </c>
      <c r="AZ41" t="inlineStr">
        <is>
          <t>991000986999702656</t>
        </is>
      </c>
      <c r="BA41" t="inlineStr">
        <is>
          <t>2260668870002656</t>
        </is>
      </c>
      <c r="BB41" t="inlineStr">
        <is>
          <t>BOOK</t>
        </is>
      </c>
      <c r="BE41" t="inlineStr">
        <is>
          <t>30001000218547</t>
        </is>
      </c>
      <c r="BF41" t="inlineStr">
        <is>
          <t>893134159</t>
        </is>
      </c>
    </row>
    <row r="42">
      <c r="A42" t="inlineStr">
        <is>
          <t>No</t>
        </is>
      </c>
      <c r="B42" t="inlineStr">
        <is>
          <t>CUHSL</t>
        </is>
      </c>
      <c r="C42" t="inlineStr">
        <is>
          <t>SHELVES</t>
        </is>
      </c>
      <c r="D42" t="inlineStr">
        <is>
          <t>W 5 M489c</t>
        </is>
      </c>
      <c r="E42" t="inlineStr">
        <is>
          <t>0                      W  0005000M  489c</t>
        </is>
      </c>
      <c r="F42" t="inlineStr">
        <is>
          <t>Cartoon classics from Medical economics.</t>
        </is>
      </c>
      <c r="H42" t="inlineStr">
        <is>
          <t>No</t>
        </is>
      </c>
      <c r="I42" t="inlineStr">
        <is>
          <t>1</t>
        </is>
      </c>
      <c r="J42" t="inlineStr">
        <is>
          <t>No</t>
        </is>
      </c>
      <c r="K42" t="inlineStr">
        <is>
          <t>No</t>
        </is>
      </c>
      <c r="L42" t="inlineStr">
        <is>
          <t>0</t>
        </is>
      </c>
      <c r="M42" t="inlineStr">
        <is>
          <t>Medical economics.</t>
        </is>
      </c>
      <c r="N42" t="inlineStr">
        <is>
          <t>-- Oradell, N.J. : Medical Economics Book Division, c1963.</t>
        </is>
      </c>
      <c r="O42" t="inlineStr">
        <is>
          <t>1963</t>
        </is>
      </c>
      <c r="Q42" t="inlineStr">
        <is>
          <t>eng</t>
        </is>
      </c>
      <c r="R42" t="inlineStr">
        <is>
          <t>nju</t>
        </is>
      </c>
      <c r="T42" t="inlineStr">
        <is>
          <t xml:space="preserve">W  </t>
        </is>
      </c>
      <c r="U42" t="n">
        <v>8</v>
      </c>
      <c r="V42" t="n">
        <v>8</v>
      </c>
      <c r="W42" t="inlineStr">
        <is>
          <t>2006-02-24</t>
        </is>
      </c>
      <c r="X42" t="inlineStr">
        <is>
          <t>2006-02-24</t>
        </is>
      </c>
      <c r="Y42" t="inlineStr">
        <is>
          <t>1987-12-29</t>
        </is>
      </c>
      <c r="Z42" t="inlineStr">
        <is>
          <t>1987-12-29</t>
        </is>
      </c>
      <c r="AA42" t="n">
        <v>50</v>
      </c>
      <c r="AB42" t="n">
        <v>50</v>
      </c>
      <c r="AC42" t="n">
        <v>52</v>
      </c>
      <c r="AD42" t="n">
        <v>2</v>
      </c>
      <c r="AE42" t="n">
        <v>2</v>
      </c>
      <c r="AF42" t="n">
        <v>1</v>
      </c>
      <c r="AG42" t="n">
        <v>1</v>
      </c>
      <c r="AH42" t="n">
        <v>0</v>
      </c>
      <c r="AI42" t="n">
        <v>0</v>
      </c>
      <c r="AJ42" t="n">
        <v>0</v>
      </c>
      <c r="AK42" t="n">
        <v>0</v>
      </c>
      <c r="AL42" t="n">
        <v>0</v>
      </c>
      <c r="AM42" t="n">
        <v>0</v>
      </c>
      <c r="AN42" t="n">
        <v>1</v>
      </c>
      <c r="AO42" t="n">
        <v>1</v>
      </c>
      <c r="AP42" t="n">
        <v>0</v>
      </c>
      <c r="AQ42" t="n">
        <v>0</v>
      </c>
      <c r="AR42" t="inlineStr">
        <is>
          <t>No</t>
        </is>
      </c>
      <c r="AS42" t="inlineStr">
        <is>
          <t>Yes</t>
        </is>
      </c>
      <c r="AT42">
        <f>HYPERLINK("http://catalog.hathitrust.org/Record/012265121","HathiTrust Record")</f>
        <v/>
      </c>
      <c r="AU42">
        <f>HYPERLINK("https://creighton-primo.hosted.exlibrisgroup.com/primo-explore/search?tab=default_tab&amp;search_scope=EVERYTHING&amp;vid=01CRU&amp;lang=en_US&amp;offset=0&amp;query=any,contains,991000987339702656","Catalog Record")</f>
        <v/>
      </c>
      <c r="AV42">
        <f>HYPERLINK("http://www.worldcat.org/oclc/2437187","WorldCat Record")</f>
        <v/>
      </c>
      <c r="AW42" t="inlineStr">
        <is>
          <t>5238399:eng</t>
        </is>
      </c>
      <c r="AX42" t="inlineStr">
        <is>
          <t>2437187</t>
        </is>
      </c>
      <c r="AY42" t="inlineStr">
        <is>
          <t>991000987339702656</t>
        </is>
      </c>
      <c r="AZ42" t="inlineStr">
        <is>
          <t>991000987339702656</t>
        </is>
      </c>
      <c r="BA42" t="inlineStr">
        <is>
          <t>2263576240002656</t>
        </is>
      </c>
      <c r="BB42" t="inlineStr">
        <is>
          <t>BOOK</t>
        </is>
      </c>
      <c r="BE42" t="inlineStr">
        <is>
          <t>30001000218893</t>
        </is>
      </c>
      <c r="BF42" t="inlineStr">
        <is>
          <t>893632632</t>
        </is>
      </c>
    </row>
    <row r="43">
      <c r="A43" t="inlineStr">
        <is>
          <t>No</t>
        </is>
      </c>
      <c r="B43" t="inlineStr">
        <is>
          <t>CUHSL</t>
        </is>
      </c>
      <c r="C43" t="inlineStr">
        <is>
          <t>SHELVES</t>
        </is>
      </c>
      <c r="D43" t="inlineStr">
        <is>
          <t>W 9 D614 1989</t>
        </is>
      </c>
      <c r="E43" t="inlineStr">
        <is>
          <t>0                      W  0009000D  614         1989</t>
        </is>
      </c>
      <c r="F43" t="inlineStr">
        <is>
          <t>The 1989 Distinguished visiting professorship lectures / edited by James Edward Hamner, III.</t>
        </is>
      </c>
      <c r="H43" t="inlineStr">
        <is>
          <t>No</t>
        </is>
      </c>
      <c r="I43" t="inlineStr">
        <is>
          <t>1</t>
        </is>
      </c>
      <c r="J43" t="inlineStr">
        <is>
          <t>No</t>
        </is>
      </c>
      <c r="K43" t="inlineStr">
        <is>
          <t>No</t>
        </is>
      </c>
      <c r="L43" t="inlineStr">
        <is>
          <t>0</t>
        </is>
      </c>
      <c r="N43" t="inlineStr">
        <is>
          <t>Memphis : University of Tennessee, Memphis Health Science Center, c1990.</t>
        </is>
      </c>
      <c r="O43" t="inlineStr">
        <is>
          <t>1990</t>
        </is>
      </c>
      <c r="Q43" t="inlineStr">
        <is>
          <t>eng</t>
        </is>
      </c>
      <c r="R43" t="inlineStr">
        <is>
          <t>tnu</t>
        </is>
      </c>
      <c r="T43" t="inlineStr">
        <is>
          <t xml:space="preserve">W  </t>
        </is>
      </c>
      <c r="U43" t="n">
        <v>1</v>
      </c>
      <c r="V43" t="n">
        <v>1</v>
      </c>
      <c r="W43" t="inlineStr">
        <is>
          <t>1991-02-01</t>
        </is>
      </c>
      <c r="X43" t="inlineStr">
        <is>
          <t>1991-02-01</t>
        </is>
      </c>
      <c r="Y43" t="inlineStr">
        <is>
          <t>1991-02-01</t>
        </is>
      </c>
      <c r="Z43" t="inlineStr">
        <is>
          <t>1991-02-01</t>
        </is>
      </c>
      <c r="AA43" t="n">
        <v>2</v>
      </c>
      <c r="AB43" t="n">
        <v>2</v>
      </c>
      <c r="AC43" t="n">
        <v>2</v>
      </c>
      <c r="AD43" t="n">
        <v>1</v>
      </c>
      <c r="AE43" t="n">
        <v>1</v>
      </c>
      <c r="AF43" t="n">
        <v>0</v>
      </c>
      <c r="AG43" t="n">
        <v>0</v>
      </c>
      <c r="AH43" t="n">
        <v>0</v>
      </c>
      <c r="AI43" t="n">
        <v>0</v>
      </c>
      <c r="AJ43" t="n">
        <v>0</v>
      </c>
      <c r="AK43" t="n">
        <v>0</v>
      </c>
      <c r="AL43" t="n">
        <v>0</v>
      </c>
      <c r="AM43" t="n">
        <v>0</v>
      </c>
      <c r="AN43" t="n">
        <v>0</v>
      </c>
      <c r="AO43" t="n">
        <v>0</v>
      </c>
      <c r="AP43" t="n">
        <v>0</v>
      </c>
      <c r="AQ43" t="n">
        <v>0</v>
      </c>
      <c r="AR43" t="inlineStr">
        <is>
          <t>No</t>
        </is>
      </c>
      <c r="AS43" t="inlineStr">
        <is>
          <t>No</t>
        </is>
      </c>
      <c r="AU43">
        <f>HYPERLINK("https://creighton-primo.hosted.exlibrisgroup.com/primo-explore/search?tab=default_tab&amp;search_scope=EVERYTHING&amp;vid=01CRU&amp;lang=en_US&amp;offset=0&amp;query=any,contains,991000817419702656","Catalog Record")</f>
        <v/>
      </c>
      <c r="AV43">
        <f>HYPERLINK("http://www.worldcat.org/oclc/23245967","WorldCat Record")</f>
        <v/>
      </c>
      <c r="AW43" t="inlineStr">
        <is>
          <t>25821141:eng</t>
        </is>
      </c>
      <c r="AX43" t="inlineStr">
        <is>
          <t>23245967</t>
        </is>
      </c>
      <c r="AY43" t="inlineStr">
        <is>
          <t>991000817419702656</t>
        </is>
      </c>
      <c r="AZ43" t="inlineStr">
        <is>
          <t>991000817419702656</t>
        </is>
      </c>
      <c r="BA43" t="inlineStr">
        <is>
          <t>2270239990002656</t>
        </is>
      </c>
      <c r="BB43" t="inlineStr">
        <is>
          <t>BOOK</t>
        </is>
      </c>
      <c r="BE43" t="inlineStr">
        <is>
          <t>30001002086694</t>
        </is>
      </c>
      <c r="BF43" t="inlineStr">
        <is>
          <t>893376912</t>
        </is>
      </c>
    </row>
    <row r="44">
      <c r="A44" t="inlineStr">
        <is>
          <t>No</t>
        </is>
      </c>
      <c r="B44" t="inlineStr">
        <is>
          <t>CUHSL</t>
        </is>
      </c>
      <c r="C44" t="inlineStr">
        <is>
          <t>SHELVES</t>
        </is>
      </c>
      <c r="D44" t="inlineStr">
        <is>
          <t>W 9 D614 1990</t>
        </is>
      </c>
      <c r="E44" t="inlineStr">
        <is>
          <t>0                      W  0009000D  614         1990</t>
        </is>
      </c>
      <c r="F44" t="inlineStr">
        <is>
          <t>The 1990 Distinguished visiting professorship lectures / edited by James Edward Hamner, III.</t>
        </is>
      </c>
      <c r="H44" t="inlineStr">
        <is>
          <t>No</t>
        </is>
      </c>
      <c r="I44" t="inlineStr">
        <is>
          <t>1</t>
        </is>
      </c>
      <c r="J44" t="inlineStr">
        <is>
          <t>No</t>
        </is>
      </c>
      <c r="K44" t="inlineStr">
        <is>
          <t>No</t>
        </is>
      </c>
      <c r="L44" t="inlineStr">
        <is>
          <t>0</t>
        </is>
      </c>
      <c r="N44" t="inlineStr">
        <is>
          <t>Memphis : University of Tennessee, Health Science Center, c1991.</t>
        </is>
      </c>
      <c r="O44" t="inlineStr">
        <is>
          <t>1991</t>
        </is>
      </c>
      <c r="Q44" t="inlineStr">
        <is>
          <t>eng</t>
        </is>
      </c>
      <c r="R44" t="inlineStr">
        <is>
          <t>tnu</t>
        </is>
      </c>
      <c r="T44" t="inlineStr">
        <is>
          <t xml:space="preserve">W  </t>
        </is>
      </c>
      <c r="U44" t="n">
        <v>1</v>
      </c>
      <c r="V44" t="n">
        <v>1</v>
      </c>
      <c r="W44" t="inlineStr">
        <is>
          <t>1991-12-13</t>
        </is>
      </c>
      <c r="X44" t="inlineStr">
        <is>
          <t>1991-12-13</t>
        </is>
      </c>
      <c r="Y44" t="inlineStr">
        <is>
          <t>1991-12-13</t>
        </is>
      </c>
      <c r="Z44" t="inlineStr">
        <is>
          <t>1991-12-13</t>
        </is>
      </c>
      <c r="AA44" t="n">
        <v>4</v>
      </c>
      <c r="AB44" t="n">
        <v>4</v>
      </c>
      <c r="AC44" t="n">
        <v>4</v>
      </c>
      <c r="AD44" t="n">
        <v>1</v>
      </c>
      <c r="AE44" t="n">
        <v>1</v>
      </c>
      <c r="AF44" t="n">
        <v>0</v>
      </c>
      <c r="AG44" t="n">
        <v>0</v>
      </c>
      <c r="AH44" t="n">
        <v>0</v>
      </c>
      <c r="AI44" t="n">
        <v>0</v>
      </c>
      <c r="AJ44" t="n">
        <v>0</v>
      </c>
      <c r="AK44" t="n">
        <v>0</v>
      </c>
      <c r="AL44" t="n">
        <v>0</v>
      </c>
      <c r="AM44" t="n">
        <v>0</v>
      </c>
      <c r="AN44" t="n">
        <v>0</v>
      </c>
      <c r="AO44" t="n">
        <v>0</v>
      </c>
      <c r="AP44" t="n">
        <v>0</v>
      </c>
      <c r="AQ44" t="n">
        <v>0</v>
      </c>
      <c r="AR44" t="inlineStr">
        <is>
          <t>No</t>
        </is>
      </c>
      <c r="AS44" t="inlineStr">
        <is>
          <t>No</t>
        </is>
      </c>
      <c r="AU44">
        <f>HYPERLINK("https://creighton-primo.hosted.exlibrisgroup.com/primo-explore/search?tab=default_tab&amp;search_scope=EVERYTHING&amp;vid=01CRU&amp;lang=en_US&amp;offset=0&amp;query=any,contains,991001027889702656","Catalog Record")</f>
        <v/>
      </c>
      <c r="AV44">
        <f>HYPERLINK("http://www.worldcat.org/oclc/24768915","WorldCat Record")</f>
        <v/>
      </c>
      <c r="AW44" t="inlineStr">
        <is>
          <t>14767129:eng</t>
        </is>
      </c>
      <c r="AX44" t="inlineStr">
        <is>
          <t>24768915</t>
        </is>
      </c>
      <c r="AY44" t="inlineStr">
        <is>
          <t>991001027889702656</t>
        </is>
      </c>
      <c r="AZ44" t="inlineStr">
        <is>
          <t>991001027889702656</t>
        </is>
      </c>
      <c r="BA44" t="inlineStr">
        <is>
          <t>2255080710002656</t>
        </is>
      </c>
      <c r="BB44" t="inlineStr">
        <is>
          <t>BOOK</t>
        </is>
      </c>
      <c r="BE44" t="inlineStr">
        <is>
          <t>30001002243063</t>
        </is>
      </c>
      <c r="BF44" t="inlineStr">
        <is>
          <t>893284332</t>
        </is>
      </c>
    </row>
    <row r="45">
      <c r="A45" t="inlineStr">
        <is>
          <t>No</t>
        </is>
      </c>
      <c r="B45" t="inlineStr">
        <is>
          <t>CUHSL</t>
        </is>
      </c>
      <c r="C45" t="inlineStr">
        <is>
          <t>SHELVES</t>
        </is>
      </c>
      <c r="D45" t="inlineStr">
        <is>
          <t>W 9 D614 1992</t>
        </is>
      </c>
      <c r="E45" t="inlineStr">
        <is>
          <t>0                      W  0009000D  614         1992</t>
        </is>
      </c>
      <c r="F45" t="inlineStr">
        <is>
          <t>The 1991 Distinguished visiting professorship lectures / edited by James Edward Hamner, III.</t>
        </is>
      </c>
      <c r="H45" t="inlineStr">
        <is>
          <t>No</t>
        </is>
      </c>
      <c r="I45" t="inlineStr">
        <is>
          <t>1</t>
        </is>
      </c>
      <c r="J45" t="inlineStr">
        <is>
          <t>No</t>
        </is>
      </c>
      <c r="K45" t="inlineStr">
        <is>
          <t>No</t>
        </is>
      </c>
      <c r="L45" t="inlineStr">
        <is>
          <t>0</t>
        </is>
      </c>
      <c r="N45" t="inlineStr">
        <is>
          <t>Memphis : University of Tennessee, Health Science Center, c1992.</t>
        </is>
      </c>
      <c r="O45" t="inlineStr">
        <is>
          <t>1992</t>
        </is>
      </c>
      <c r="Q45" t="inlineStr">
        <is>
          <t>eng</t>
        </is>
      </c>
      <c r="R45" t="inlineStr">
        <is>
          <t>tnu</t>
        </is>
      </c>
      <c r="T45" t="inlineStr">
        <is>
          <t xml:space="preserve">W  </t>
        </is>
      </c>
      <c r="U45" t="n">
        <v>1</v>
      </c>
      <c r="V45" t="n">
        <v>1</v>
      </c>
      <c r="W45" t="inlineStr">
        <is>
          <t>1992-12-23</t>
        </is>
      </c>
      <c r="X45" t="inlineStr">
        <is>
          <t>1992-12-23</t>
        </is>
      </c>
      <c r="Y45" t="inlineStr">
        <is>
          <t>1992-12-23</t>
        </is>
      </c>
      <c r="Z45" t="inlineStr">
        <is>
          <t>1992-12-23</t>
        </is>
      </c>
      <c r="AA45" t="n">
        <v>9</v>
      </c>
      <c r="AB45" t="n">
        <v>9</v>
      </c>
      <c r="AC45" t="n">
        <v>9</v>
      </c>
      <c r="AD45" t="n">
        <v>1</v>
      </c>
      <c r="AE45" t="n">
        <v>1</v>
      </c>
      <c r="AF45" t="n">
        <v>0</v>
      </c>
      <c r="AG45" t="n">
        <v>0</v>
      </c>
      <c r="AH45" t="n">
        <v>0</v>
      </c>
      <c r="AI45" t="n">
        <v>0</v>
      </c>
      <c r="AJ45" t="n">
        <v>0</v>
      </c>
      <c r="AK45" t="n">
        <v>0</v>
      </c>
      <c r="AL45" t="n">
        <v>0</v>
      </c>
      <c r="AM45" t="n">
        <v>0</v>
      </c>
      <c r="AN45" t="n">
        <v>0</v>
      </c>
      <c r="AO45" t="n">
        <v>0</v>
      </c>
      <c r="AP45" t="n">
        <v>0</v>
      </c>
      <c r="AQ45" t="n">
        <v>0</v>
      </c>
      <c r="AR45" t="inlineStr">
        <is>
          <t>No</t>
        </is>
      </c>
      <c r="AS45" t="inlineStr">
        <is>
          <t>No</t>
        </is>
      </c>
      <c r="AU45">
        <f>HYPERLINK("https://creighton-primo.hosted.exlibrisgroup.com/primo-explore/search?tab=default_tab&amp;search_scope=EVERYTHING&amp;vid=01CRU&amp;lang=en_US&amp;offset=0&amp;query=any,contains,991001352059702656","Catalog Record")</f>
        <v/>
      </c>
      <c r="AV45">
        <f>HYPERLINK("http://www.worldcat.org/oclc/27345161","WorldCat Record")</f>
        <v/>
      </c>
      <c r="AW45" t="inlineStr">
        <is>
          <t>30191070:eng</t>
        </is>
      </c>
      <c r="AX45" t="inlineStr">
        <is>
          <t>27345161</t>
        </is>
      </c>
      <c r="AY45" t="inlineStr">
        <is>
          <t>991001352059702656</t>
        </is>
      </c>
      <c r="AZ45" t="inlineStr">
        <is>
          <t>991001352059702656</t>
        </is>
      </c>
      <c r="BA45" t="inlineStr">
        <is>
          <t>2266176970002656</t>
        </is>
      </c>
      <c r="BB45" t="inlineStr">
        <is>
          <t>BOOK</t>
        </is>
      </c>
      <c r="BE45" t="inlineStr">
        <is>
          <t>30001002459818</t>
        </is>
      </c>
      <c r="BF45" t="inlineStr">
        <is>
          <t>893557873</t>
        </is>
      </c>
    </row>
    <row r="46">
      <c r="A46" t="inlineStr">
        <is>
          <t>No</t>
        </is>
      </c>
      <c r="B46" t="inlineStr">
        <is>
          <t>CUHSL</t>
        </is>
      </c>
      <c r="C46" t="inlineStr">
        <is>
          <t>SHELVES</t>
        </is>
      </c>
      <c r="D46" t="inlineStr">
        <is>
          <t>W 9 F862m 1989</t>
        </is>
      </c>
      <c r="E46" t="inlineStr">
        <is>
          <t>0                      W  0009000F  862m        1989</t>
        </is>
      </c>
      <c r="F46" t="inlineStr">
        <is>
          <t>Medical work in America : essays on health care / Eliot Freidson.</t>
        </is>
      </c>
      <c r="H46" t="inlineStr">
        <is>
          <t>No</t>
        </is>
      </c>
      <c r="I46" t="inlineStr">
        <is>
          <t>1</t>
        </is>
      </c>
      <c r="J46" t="inlineStr">
        <is>
          <t>No</t>
        </is>
      </c>
      <c r="K46" t="inlineStr">
        <is>
          <t>No</t>
        </is>
      </c>
      <c r="L46" t="inlineStr">
        <is>
          <t>0</t>
        </is>
      </c>
      <c r="M46" t="inlineStr">
        <is>
          <t>Freidson, Eliot, 1923-2005.</t>
        </is>
      </c>
      <c r="N46" t="inlineStr">
        <is>
          <t>New Haven : Yale University Press, c1989.</t>
        </is>
      </c>
      <c r="O46" t="inlineStr">
        <is>
          <t>1989</t>
        </is>
      </c>
      <c r="Q46" t="inlineStr">
        <is>
          <t>eng</t>
        </is>
      </c>
      <c r="R46" t="inlineStr">
        <is>
          <t>ctu</t>
        </is>
      </c>
      <c r="T46" t="inlineStr">
        <is>
          <t xml:space="preserve">W  </t>
        </is>
      </c>
      <c r="U46" t="n">
        <v>7</v>
      </c>
      <c r="V46" t="n">
        <v>7</v>
      </c>
      <c r="W46" t="inlineStr">
        <is>
          <t>2003-07-11</t>
        </is>
      </c>
      <c r="X46" t="inlineStr">
        <is>
          <t>2003-07-11</t>
        </is>
      </c>
      <c r="Y46" t="inlineStr">
        <is>
          <t>1989-07-12</t>
        </is>
      </c>
      <c r="Z46" t="inlineStr">
        <is>
          <t>1989-07-12</t>
        </is>
      </c>
      <c r="AA46" t="n">
        <v>366</v>
      </c>
      <c r="AB46" t="n">
        <v>313</v>
      </c>
      <c r="AC46" t="n">
        <v>319</v>
      </c>
      <c r="AD46" t="n">
        <v>1</v>
      </c>
      <c r="AE46" t="n">
        <v>1</v>
      </c>
      <c r="AF46" t="n">
        <v>20</v>
      </c>
      <c r="AG46" t="n">
        <v>20</v>
      </c>
      <c r="AH46" t="n">
        <v>8</v>
      </c>
      <c r="AI46" t="n">
        <v>8</v>
      </c>
      <c r="AJ46" t="n">
        <v>8</v>
      </c>
      <c r="AK46" t="n">
        <v>8</v>
      </c>
      <c r="AL46" t="n">
        <v>10</v>
      </c>
      <c r="AM46" t="n">
        <v>10</v>
      </c>
      <c r="AN46" t="n">
        <v>0</v>
      </c>
      <c r="AO46" t="n">
        <v>0</v>
      </c>
      <c r="AP46" t="n">
        <v>1</v>
      </c>
      <c r="AQ46" t="n">
        <v>1</v>
      </c>
      <c r="AR46" t="inlineStr">
        <is>
          <t>No</t>
        </is>
      </c>
      <c r="AS46" t="inlineStr">
        <is>
          <t>Yes</t>
        </is>
      </c>
      <c r="AT46">
        <f>HYPERLINK("http://catalog.hathitrust.org/Record/001538727","HathiTrust Record")</f>
        <v/>
      </c>
      <c r="AU46">
        <f>HYPERLINK("https://creighton-primo.hosted.exlibrisgroup.com/primo-explore/search?tab=default_tab&amp;search_scope=EVERYTHING&amp;vid=01CRU&amp;lang=en_US&amp;offset=0&amp;query=any,contains,991001253469702656","Catalog Record")</f>
        <v/>
      </c>
      <c r="AV46">
        <f>HYPERLINK("http://www.worldcat.org/oclc/19264615","WorldCat Record")</f>
        <v/>
      </c>
      <c r="AW46" t="inlineStr">
        <is>
          <t>47544086:eng</t>
        </is>
      </c>
      <c r="AX46" t="inlineStr">
        <is>
          <t>19264615</t>
        </is>
      </c>
      <c r="AY46" t="inlineStr">
        <is>
          <t>991001253469702656</t>
        </is>
      </c>
      <c r="AZ46" t="inlineStr">
        <is>
          <t>991001253469702656</t>
        </is>
      </c>
      <c r="BA46" t="inlineStr">
        <is>
          <t>2262849650002656</t>
        </is>
      </c>
      <c r="BB46" t="inlineStr">
        <is>
          <t>BOOK</t>
        </is>
      </c>
      <c r="BD46" t="inlineStr">
        <is>
          <t>9780300041576</t>
        </is>
      </c>
      <c r="BE46" t="inlineStr">
        <is>
          <t>30001001679630</t>
        </is>
      </c>
      <c r="BF46" t="inlineStr">
        <is>
          <t>893363913</t>
        </is>
      </c>
    </row>
    <row r="47">
      <c r="A47" t="inlineStr">
        <is>
          <t>No</t>
        </is>
      </c>
      <c r="B47" t="inlineStr">
        <is>
          <t>CUHSL</t>
        </is>
      </c>
      <c r="C47" t="inlineStr">
        <is>
          <t>SHELVES</t>
        </is>
      </c>
      <c r="D47" t="inlineStr">
        <is>
          <t>W 10 G658t 2004</t>
        </is>
      </c>
      <c r="E47" t="inlineStr">
        <is>
          <t>0                      W  0010000G  658t        2004</t>
        </is>
      </c>
      <c r="F47" t="inlineStr">
        <is>
          <t>Travel medicine for health professionals / Larry I. Goodyear.</t>
        </is>
      </c>
      <c r="H47" t="inlineStr">
        <is>
          <t>No</t>
        </is>
      </c>
      <c r="I47" t="inlineStr">
        <is>
          <t>1</t>
        </is>
      </c>
      <c r="J47" t="inlineStr">
        <is>
          <t>No</t>
        </is>
      </c>
      <c r="K47" t="inlineStr">
        <is>
          <t>No</t>
        </is>
      </c>
      <c r="L47" t="inlineStr">
        <is>
          <t>0</t>
        </is>
      </c>
      <c r="M47" t="inlineStr">
        <is>
          <t>Goodyer, Larry I.</t>
        </is>
      </c>
      <c r="N47" t="inlineStr">
        <is>
          <t>London ; Chicago : Pharmaceutical Press, 2004.</t>
        </is>
      </c>
      <c r="O47" t="inlineStr">
        <is>
          <t>2004</t>
        </is>
      </c>
      <c r="Q47" t="inlineStr">
        <is>
          <t>eng</t>
        </is>
      </c>
      <c r="R47" t="inlineStr">
        <is>
          <t>enk</t>
        </is>
      </c>
      <c r="T47" t="inlineStr">
        <is>
          <t xml:space="preserve">W  </t>
        </is>
      </c>
      <c r="U47" t="n">
        <v>0</v>
      </c>
      <c r="V47" t="n">
        <v>0</v>
      </c>
      <c r="W47" t="inlineStr">
        <is>
          <t>2004-09-14</t>
        </is>
      </c>
      <c r="X47" t="inlineStr">
        <is>
          <t>2004-09-14</t>
        </is>
      </c>
      <c r="Y47" t="inlineStr">
        <is>
          <t>2004-09-14</t>
        </is>
      </c>
      <c r="Z47" t="inlineStr">
        <is>
          <t>2004-09-14</t>
        </is>
      </c>
      <c r="AA47" t="n">
        <v>88</v>
      </c>
      <c r="AB47" t="n">
        <v>41</v>
      </c>
      <c r="AC47" t="n">
        <v>43</v>
      </c>
      <c r="AD47" t="n">
        <v>1</v>
      </c>
      <c r="AE47" t="n">
        <v>1</v>
      </c>
      <c r="AF47" t="n">
        <v>2</v>
      </c>
      <c r="AG47" t="n">
        <v>2</v>
      </c>
      <c r="AH47" t="n">
        <v>1</v>
      </c>
      <c r="AI47" t="n">
        <v>1</v>
      </c>
      <c r="AJ47" t="n">
        <v>1</v>
      </c>
      <c r="AK47" t="n">
        <v>1</v>
      </c>
      <c r="AL47" t="n">
        <v>0</v>
      </c>
      <c r="AM47" t="n">
        <v>0</v>
      </c>
      <c r="AN47" t="n">
        <v>0</v>
      </c>
      <c r="AO47" t="n">
        <v>0</v>
      </c>
      <c r="AP47" t="n">
        <v>0</v>
      </c>
      <c r="AQ47" t="n">
        <v>0</v>
      </c>
      <c r="AR47" t="inlineStr">
        <is>
          <t>No</t>
        </is>
      </c>
      <c r="AS47" t="inlineStr">
        <is>
          <t>Yes</t>
        </is>
      </c>
      <c r="AT47">
        <f>HYPERLINK("http://catalog.hathitrust.org/Record/004748493","HathiTrust Record")</f>
        <v/>
      </c>
      <c r="AU47">
        <f>HYPERLINK("https://creighton-primo.hosted.exlibrisgroup.com/primo-explore/search?tab=default_tab&amp;search_scope=EVERYTHING&amp;vid=01CRU&amp;lang=en_US&amp;offset=0&amp;query=any,contains,991000388729702656","Catalog Record")</f>
        <v/>
      </c>
      <c r="AV47">
        <f>HYPERLINK("http://www.worldcat.org/oclc/55211456","WorldCat Record")</f>
        <v/>
      </c>
      <c r="AW47" t="inlineStr">
        <is>
          <t>727491:eng</t>
        </is>
      </c>
      <c r="AX47" t="inlineStr">
        <is>
          <t>55211456</t>
        </is>
      </c>
      <c r="AY47" t="inlineStr">
        <is>
          <t>991000388729702656</t>
        </is>
      </c>
      <c r="AZ47" t="inlineStr">
        <is>
          <t>991000388729702656</t>
        </is>
      </c>
      <c r="BA47" t="inlineStr">
        <is>
          <t>2272085260002656</t>
        </is>
      </c>
      <c r="BB47" t="inlineStr">
        <is>
          <t>BOOK</t>
        </is>
      </c>
      <c r="BD47" t="inlineStr">
        <is>
          <t>9780853695110</t>
        </is>
      </c>
      <c r="BE47" t="inlineStr">
        <is>
          <t>30001004921146</t>
        </is>
      </c>
      <c r="BF47" t="inlineStr">
        <is>
          <t>893728338</t>
        </is>
      </c>
    </row>
    <row r="48">
      <c r="A48" t="inlineStr">
        <is>
          <t>No</t>
        </is>
      </c>
      <c r="B48" t="inlineStr">
        <is>
          <t>CUHSL</t>
        </is>
      </c>
      <c r="C48" t="inlineStr">
        <is>
          <t>SHELVES</t>
        </is>
      </c>
      <c r="D48" t="inlineStr">
        <is>
          <t>W10 P312L 2001</t>
        </is>
      </c>
      <c r="E48" t="inlineStr">
        <is>
          <t>0                      W  0010000P  312L        2001</t>
        </is>
      </c>
      <c r="F48" t="inlineStr">
        <is>
          <t>Lewis &amp; Clark : doctors in the wilderness / Bruce C. Paton.</t>
        </is>
      </c>
      <c r="H48" t="inlineStr">
        <is>
          <t>No</t>
        </is>
      </c>
      <c r="I48" t="inlineStr">
        <is>
          <t>1</t>
        </is>
      </c>
      <c r="J48" t="inlineStr">
        <is>
          <t>No</t>
        </is>
      </c>
      <c r="K48" t="inlineStr">
        <is>
          <t>No</t>
        </is>
      </c>
      <c r="L48" t="inlineStr">
        <is>
          <t>0</t>
        </is>
      </c>
      <c r="M48" t="inlineStr">
        <is>
          <t>Paton, Bruce C.</t>
        </is>
      </c>
      <c r="N48" t="inlineStr">
        <is>
          <t>Golden, Colo. : Fulcrum Pub., c2001.</t>
        </is>
      </c>
      <c r="O48" t="inlineStr">
        <is>
          <t>2001</t>
        </is>
      </c>
      <c r="Q48" t="inlineStr">
        <is>
          <t>eng</t>
        </is>
      </c>
      <c r="R48" t="inlineStr">
        <is>
          <t>cou</t>
        </is>
      </c>
      <c r="T48" t="inlineStr">
        <is>
          <t xml:space="preserve">W  </t>
        </is>
      </c>
      <c r="U48" t="n">
        <v>7</v>
      </c>
      <c r="V48" t="n">
        <v>7</v>
      </c>
      <c r="W48" t="inlineStr">
        <is>
          <t>2004-08-14</t>
        </is>
      </c>
      <c r="X48" t="inlineStr">
        <is>
          <t>2004-08-14</t>
        </is>
      </c>
      <c r="Y48" t="inlineStr">
        <is>
          <t>2003-02-18</t>
        </is>
      </c>
      <c r="Z48" t="inlineStr">
        <is>
          <t>2003-02-18</t>
        </is>
      </c>
      <c r="AA48" t="n">
        <v>253</v>
      </c>
      <c r="AB48" t="n">
        <v>247</v>
      </c>
      <c r="AC48" t="n">
        <v>254</v>
      </c>
      <c r="AD48" t="n">
        <v>7</v>
      </c>
      <c r="AE48" t="n">
        <v>7</v>
      </c>
      <c r="AF48" t="n">
        <v>5</v>
      </c>
      <c r="AG48" t="n">
        <v>5</v>
      </c>
      <c r="AH48" t="n">
        <v>2</v>
      </c>
      <c r="AI48" t="n">
        <v>2</v>
      </c>
      <c r="AJ48" t="n">
        <v>0</v>
      </c>
      <c r="AK48" t="n">
        <v>0</v>
      </c>
      <c r="AL48" t="n">
        <v>2</v>
      </c>
      <c r="AM48" t="n">
        <v>2</v>
      </c>
      <c r="AN48" t="n">
        <v>2</v>
      </c>
      <c r="AO48" t="n">
        <v>2</v>
      </c>
      <c r="AP48" t="n">
        <v>0</v>
      </c>
      <c r="AQ48" t="n">
        <v>0</v>
      </c>
      <c r="AR48" t="inlineStr">
        <is>
          <t>No</t>
        </is>
      </c>
      <c r="AS48" t="inlineStr">
        <is>
          <t>Yes</t>
        </is>
      </c>
      <c r="AT48">
        <f>HYPERLINK("http://catalog.hathitrust.org/Record/004971928","HathiTrust Record")</f>
        <v/>
      </c>
      <c r="AU48">
        <f>HYPERLINK("https://creighton-primo.hosted.exlibrisgroup.com/primo-explore/search?tab=default_tab&amp;search_scope=EVERYTHING&amp;vid=01CRU&amp;lang=en_US&amp;offset=0&amp;query=any,contains,991000339399702656","Catalog Record")</f>
        <v/>
      </c>
      <c r="AV48">
        <f>HYPERLINK("http://www.worldcat.org/oclc/46835210","WorldCat Record")</f>
        <v/>
      </c>
      <c r="AW48" t="inlineStr">
        <is>
          <t>36099443:eng</t>
        </is>
      </c>
      <c r="AX48" t="inlineStr">
        <is>
          <t>46835210</t>
        </is>
      </c>
      <c r="AY48" t="inlineStr">
        <is>
          <t>991000339399702656</t>
        </is>
      </c>
      <c r="AZ48" t="inlineStr">
        <is>
          <t>991000339399702656</t>
        </is>
      </c>
      <c r="BA48" t="inlineStr">
        <is>
          <t>2260084460002656</t>
        </is>
      </c>
      <c r="BB48" t="inlineStr">
        <is>
          <t>BOOK</t>
        </is>
      </c>
      <c r="BD48" t="inlineStr">
        <is>
          <t>9781555910556</t>
        </is>
      </c>
      <c r="BE48" t="inlineStr">
        <is>
          <t>30001004502185</t>
        </is>
      </c>
      <c r="BF48" t="inlineStr">
        <is>
          <t>893537078</t>
        </is>
      </c>
    </row>
    <row r="49">
      <c r="A49" t="inlineStr">
        <is>
          <t>No</t>
        </is>
      </c>
      <c r="B49" t="inlineStr">
        <is>
          <t>CUHSL</t>
        </is>
      </c>
      <c r="C49" t="inlineStr">
        <is>
          <t>SHELVES</t>
        </is>
      </c>
      <c r="D49" t="inlineStr">
        <is>
          <t>W 10 W667p 2007</t>
        </is>
      </c>
      <c r="E49" t="inlineStr">
        <is>
          <t>0                      W  0010000W  667p        2007</t>
        </is>
      </c>
      <c r="F49" t="inlineStr">
        <is>
          <t>Patients beyond borders : everybody's guide to affordable, world-class medical tourism / Josef Woodman.</t>
        </is>
      </c>
      <c r="H49" t="inlineStr">
        <is>
          <t>No</t>
        </is>
      </c>
      <c r="I49" t="inlineStr">
        <is>
          <t>1</t>
        </is>
      </c>
      <c r="J49" t="inlineStr">
        <is>
          <t>No</t>
        </is>
      </c>
      <c r="K49" t="inlineStr">
        <is>
          <t>No</t>
        </is>
      </c>
      <c r="L49" t="inlineStr">
        <is>
          <t>0</t>
        </is>
      </c>
      <c r="M49" t="inlineStr">
        <is>
          <t>Woodman, Josef.</t>
        </is>
      </c>
      <c r="N49" t="inlineStr">
        <is>
          <t>Chapel Hill, NC : Healthy Travel Media, c2007.</t>
        </is>
      </c>
      <c r="O49" t="inlineStr">
        <is>
          <t>2007</t>
        </is>
      </c>
      <c r="Q49" t="inlineStr">
        <is>
          <t>eng</t>
        </is>
      </c>
      <c r="R49" t="inlineStr">
        <is>
          <t>ncu</t>
        </is>
      </c>
      <c r="T49" t="inlineStr">
        <is>
          <t xml:space="preserve">W  </t>
        </is>
      </c>
      <c r="U49" t="n">
        <v>1</v>
      </c>
      <c r="V49" t="n">
        <v>1</v>
      </c>
      <c r="W49" t="inlineStr">
        <is>
          <t>2010-03-28</t>
        </is>
      </c>
      <c r="X49" t="inlineStr">
        <is>
          <t>2010-03-28</t>
        </is>
      </c>
      <c r="Y49" t="inlineStr">
        <is>
          <t>2008-12-19</t>
        </is>
      </c>
      <c r="Z49" t="inlineStr">
        <is>
          <t>2008-12-19</t>
        </is>
      </c>
      <c r="AA49" t="n">
        <v>134</v>
      </c>
      <c r="AB49" t="n">
        <v>123</v>
      </c>
      <c r="AC49" t="n">
        <v>319</v>
      </c>
      <c r="AD49" t="n">
        <v>1</v>
      </c>
      <c r="AE49" t="n">
        <v>4</v>
      </c>
      <c r="AF49" t="n">
        <v>1</v>
      </c>
      <c r="AG49" t="n">
        <v>4</v>
      </c>
      <c r="AH49" t="n">
        <v>0</v>
      </c>
      <c r="AI49" t="n">
        <v>1</v>
      </c>
      <c r="AJ49" t="n">
        <v>1</v>
      </c>
      <c r="AK49" t="n">
        <v>1</v>
      </c>
      <c r="AL49" t="n">
        <v>0</v>
      </c>
      <c r="AM49" t="n">
        <v>1</v>
      </c>
      <c r="AN49" t="n">
        <v>0</v>
      </c>
      <c r="AO49" t="n">
        <v>1</v>
      </c>
      <c r="AP49" t="n">
        <v>0</v>
      </c>
      <c r="AQ49" t="n">
        <v>0</v>
      </c>
      <c r="AR49" t="inlineStr">
        <is>
          <t>No</t>
        </is>
      </c>
      <c r="AS49" t="inlineStr">
        <is>
          <t>No</t>
        </is>
      </c>
      <c r="AU49">
        <f>HYPERLINK("https://creighton-primo.hosted.exlibrisgroup.com/primo-explore/search?tab=default_tab&amp;search_scope=EVERYTHING&amp;vid=01CRU&amp;lang=en_US&amp;offset=0&amp;query=any,contains,991001339239702656","Catalog Record")</f>
        <v/>
      </c>
      <c r="AV49">
        <f>HYPERLINK("http://www.worldcat.org/oclc/122341305","WorldCat Record")</f>
        <v/>
      </c>
      <c r="AW49" t="inlineStr">
        <is>
          <t>861539533:eng</t>
        </is>
      </c>
      <c r="AX49" t="inlineStr">
        <is>
          <t>122341305</t>
        </is>
      </c>
      <c r="AY49" t="inlineStr">
        <is>
          <t>991001339239702656</t>
        </is>
      </c>
      <c r="AZ49" t="inlineStr">
        <is>
          <t>991001339239702656</t>
        </is>
      </c>
      <c r="BA49" t="inlineStr">
        <is>
          <t>2270396520002656</t>
        </is>
      </c>
      <c r="BB49" t="inlineStr">
        <is>
          <t>BOOK</t>
        </is>
      </c>
      <c r="BD49" t="inlineStr">
        <is>
          <t>9780979107900</t>
        </is>
      </c>
      <c r="BE49" t="inlineStr">
        <is>
          <t>30001005242153</t>
        </is>
      </c>
      <c r="BF49" t="inlineStr">
        <is>
          <t>893287357</t>
        </is>
      </c>
    </row>
    <row r="50">
      <c r="A50" t="inlineStr">
        <is>
          <t>No</t>
        </is>
      </c>
      <c r="B50" t="inlineStr">
        <is>
          <t>CUHSL</t>
        </is>
      </c>
      <c r="C50" t="inlineStr">
        <is>
          <t>SHELVES</t>
        </is>
      </c>
      <c r="D50" t="inlineStr">
        <is>
          <t>W 13 D7111 1994</t>
        </is>
      </c>
      <c r="E50" t="inlineStr">
        <is>
          <t>0                      W  0013000D  7111        1994</t>
        </is>
      </c>
      <c r="F50" t="inlineStr">
        <is>
          <t>Dorland's illustrated medical dictionary.</t>
        </is>
      </c>
      <c r="H50" t="inlineStr">
        <is>
          <t>No</t>
        </is>
      </c>
      <c r="I50" t="inlineStr">
        <is>
          <t>1</t>
        </is>
      </c>
      <c r="J50" t="inlineStr">
        <is>
          <t>No</t>
        </is>
      </c>
      <c r="K50" t="inlineStr">
        <is>
          <t>Yes</t>
        </is>
      </c>
      <c r="L50" t="inlineStr">
        <is>
          <t>0</t>
        </is>
      </c>
      <c r="N50" t="inlineStr">
        <is>
          <t>Philadelphia : Saunders, c1994.</t>
        </is>
      </c>
      <c r="O50" t="inlineStr">
        <is>
          <t>1994</t>
        </is>
      </c>
      <c r="P50" t="inlineStr">
        <is>
          <t>28th ed.</t>
        </is>
      </c>
      <c r="Q50" t="inlineStr">
        <is>
          <t>eng</t>
        </is>
      </c>
      <c r="R50" t="inlineStr">
        <is>
          <t>xxu</t>
        </is>
      </c>
      <c r="T50" t="inlineStr">
        <is>
          <t xml:space="preserve">W  </t>
        </is>
      </c>
      <c r="U50" t="n">
        <v>34</v>
      </c>
      <c r="V50" t="n">
        <v>34</v>
      </c>
      <c r="W50" t="inlineStr">
        <is>
          <t>2001-08-22</t>
        </is>
      </c>
      <c r="X50" t="inlineStr">
        <is>
          <t>2001-08-22</t>
        </is>
      </c>
      <c r="Y50" t="inlineStr">
        <is>
          <t>1995-04-18</t>
        </is>
      </c>
      <c r="Z50" t="inlineStr">
        <is>
          <t>1995-04-18</t>
        </is>
      </c>
      <c r="AA50" t="n">
        <v>664</v>
      </c>
      <c r="AB50" t="n">
        <v>488</v>
      </c>
      <c r="AC50" t="n">
        <v>3188</v>
      </c>
      <c r="AD50" t="n">
        <v>4</v>
      </c>
      <c r="AE50" t="n">
        <v>24</v>
      </c>
      <c r="AF50" t="n">
        <v>12</v>
      </c>
      <c r="AG50" t="n">
        <v>54</v>
      </c>
      <c r="AH50" t="n">
        <v>4</v>
      </c>
      <c r="AI50" t="n">
        <v>21</v>
      </c>
      <c r="AJ50" t="n">
        <v>1</v>
      </c>
      <c r="AK50" t="n">
        <v>5</v>
      </c>
      <c r="AL50" t="n">
        <v>4</v>
      </c>
      <c r="AM50" t="n">
        <v>17</v>
      </c>
      <c r="AN50" t="n">
        <v>2</v>
      </c>
      <c r="AO50" t="n">
        <v>8</v>
      </c>
      <c r="AP50" t="n">
        <v>3</v>
      </c>
      <c r="AQ50" t="n">
        <v>10</v>
      </c>
      <c r="AR50" t="inlineStr">
        <is>
          <t>No</t>
        </is>
      </c>
      <c r="AS50" t="inlineStr">
        <is>
          <t>No</t>
        </is>
      </c>
      <c r="AU50">
        <f>HYPERLINK("https://creighton-primo.hosted.exlibrisgroup.com/primo-explore/search?tab=default_tab&amp;search_scope=EVERYTHING&amp;vid=01CRU&amp;lang=en_US&amp;offset=0&amp;query=any,contains,991001399229702656","Catalog Record")</f>
        <v/>
      </c>
      <c r="AV50">
        <f>HYPERLINK("http://www.worldcat.org/oclc/30948606","WorldCat Record")</f>
        <v/>
      </c>
      <c r="AW50" t="inlineStr">
        <is>
          <t>1059121201:eng</t>
        </is>
      </c>
      <c r="AX50" t="inlineStr">
        <is>
          <t>30948606</t>
        </is>
      </c>
      <c r="AY50" t="inlineStr">
        <is>
          <t>991001399229702656</t>
        </is>
      </c>
      <c r="AZ50" t="inlineStr">
        <is>
          <t>991001399229702656</t>
        </is>
      </c>
      <c r="BA50" t="inlineStr">
        <is>
          <t>2255809160002656</t>
        </is>
      </c>
      <c r="BB50" t="inlineStr">
        <is>
          <t>BOOK</t>
        </is>
      </c>
      <c r="BD50" t="inlineStr">
        <is>
          <t>9780721655772</t>
        </is>
      </c>
      <c r="BE50" t="inlineStr">
        <is>
          <t>30001003147354</t>
        </is>
      </c>
      <c r="BF50" t="inlineStr">
        <is>
          <t>893369349</t>
        </is>
      </c>
    </row>
    <row r="51">
      <c r="A51" t="inlineStr">
        <is>
          <t>No</t>
        </is>
      </c>
      <c r="B51" t="inlineStr">
        <is>
          <t>CUHSL</t>
        </is>
      </c>
      <c r="C51" t="inlineStr">
        <is>
          <t>SHELVES</t>
        </is>
      </c>
      <c r="D51" t="inlineStr">
        <is>
          <t>W 13 G449d 1992</t>
        </is>
      </c>
      <c r="E51" t="inlineStr">
        <is>
          <t>0                      W  0013000G  449d        1992</t>
        </is>
      </c>
      <c r="F51" t="inlineStr">
        <is>
          <t>A dictionary of medical and surgical syndromes / J. Gibson and O. Potparić.</t>
        </is>
      </c>
      <c r="H51" t="inlineStr">
        <is>
          <t>No</t>
        </is>
      </c>
      <c r="I51" t="inlineStr">
        <is>
          <t>1</t>
        </is>
      </c>
      <c r="J51" t="inlineStr">
        <is>
          <t>No</t>
        </is>
      </c>
      <c r="K51" t="inlineStr">
        <is>
          <t>No</t>
        </is>
      </c>
      <c r="L51" t="inlineStr">
        <is>
          <t>0</t>
        </is>
      </c>
      <c r="M51" t="inlineStr">
        <is>
          <t>Gibson, John, 1907-</t>
        </is>
      </c>
      <c r="N51" t="inlineStr">
        <is>
          <t>Carnforth, Lancs, UK ; Park Ridge, N.J., USA : Parthenon Pub. Group, c1992.</t>
        </is>
      </c>
      <c r="O51" t="inlineStr">
        <is>
          <t>1992</t>
        </is>
      </c>
      <c r="Q51" t="inlineStr">
        <is>
          <t>eng</t>
        </is>
      </c>
      <c r="R51" t="inlineStr">
        <is>
          <t>enk</t>
        </is>
      </c>
      <c r="T51" t="inlineStr">
        <is>
          <t xml:space="preserve">W  </t>
        </is>
      </c>
      <c r="U51" t="n">
        <v>1</v>
      </c>
      <c r="V51" t="n">
        <v>1</v>
      </c>
      <c r="W51" t="inlineStr">
        <is>
          <t>1992-02-18</t>
        </is>
      </c>
      <c r="X51" t="inlineStr">
        <is>
          <t>1992-02-18</t>
        </is>
      </c>
      <c r="Y51" t="inlineStr">
        <is>
          <t>1992-02-18</t>
        </is>
      </c>
      <c r="Z51" t="inlineStr">
        <is>
          <t>1992-02-18</t>
        </is>
      </c>
      <c r="AA51" t="n">
        <v>188</v>
      </c>
      <c r="AB51" t="n">
        <v>119</v>
      </c>
      <c r="AC51" t="n">
        <v>119</v>
      </c>
      <c r="AD51" t="n">
        <v>1</v>
      </c>
      <c r="AE51" t="n">
        <v>1</v>
      </c>
      <c r="AF51" t="n">
        <v>0</v>
      </c>
      <c r="AG51" t="n">
        <v>0</v>
      </c>
      <c r="AH51" t="n">
        <v>0</v>
      </c>
      <c r="AI51" t="n">
        <v>0</v>
      </c>
      <c r="AJ51" t="n">
        <v>0</v>
      </c>
      <c r="AK51" t="n">
        <v>0</v>
      </c>
      <c r="AL51" t="n">
        <v>0</v>
      </c>
      <c r="AM51" t="n">
        <v>0</v>
      </c>
      <c r="AN51" t="n">
        <v>0</v>
      </c>
      <c r="AO51" t="n">
        <v>0</v>
      </c>
      <c r="AP51" t="n">
        <v>0</v>
      </c>
      <c r="AQ51" t="n">
        <v>0</v>
      </c>
      <c r="AR51" t="inlineStr">
        <is>
          <t>No</t>
        </is>
      </c>
      <c r="AS51" t="inlineStr">
        <is>
          <t>No</t>
        </is>
      </c>
      <c r="AU51">
        <f>HYPERLINK("https://creighton-primo.hosted.exlibrisgroup.com/primo-explore/search?tab=default_tab&amp;search_scope=EVERYTHING&amp;vid=01CRU&amp;lang=en_US&amp;offset=0&amp;query=any,contains,991001035359702656","Catalog Record")</f>
        <v/>
      </c>
      <c r="AV51">
        <f>HYPERLINK("http://www.worldcat.org/oclc/23732311","WorldCat Record")</f>
        <v/>
      </c>
      <c r="AW51" t="inlineStr">
        <is>
          <t>25342796:eng</t>
        </is>
      </c>
      <c r="AX51" t="inlineStr">
        <is>
          <t>23732311</t>
        </is>
      </c>
      <c r="AY51" t="inlineStr">
        <is>
          <t>991001035359702656</t>
        </is>
      </c>
      <c r="AZ51" t="inlineStr">
        <is>
          <t>991001035359702656</t>
        </is>
      </c>
      <c r="BA51" t="inlineStr">
        <is>
          <t>2265360140002656</t>
        </is>
      </c>
      <c r="BB51" t="inlineStr">
        <is>
          <t>BOOK</t>
        </is>
      </c>
      <c r="BD51" t="inlineStr">
        <is>
          <t>9781850703389</t>
        </is>
      </c>
      <c r="BE51" t="inlineStr">
        <is>
          <t>30001002244657</t>
        </is>
      </c>
      <c r="BF51" t="inlineStr">
        <is>
          <t>893148819</t>
        </is>
      </c>
    </row>
    <row r="52">
      <c r="A52" t="inlineStr">
        <is>
          <t>No</t>
        </is>
      </c>
      <c r="B52" t="inlineStr">
        <is>
          <t>CUHSL</t>
        </is>
      </c>
      <c r="C52" t="inlineStr">
        <is>
          <t>SHELVES</t>
        </is>
      </c>
      <c r="D52" t="inlineStr">
        <is>
          <t>W 13 G624a 1989</t>
        </is>
      </c>
      <c r="E52" t="inlineStr">
        <is>
          <t>0                      W  0013000G  624a        1989</t>
        </is>
      </c>
      <c r="F52" t="inlineStr">
        <is>
          <t>The Aspen dictionary of health care administration / Arnold S. Goldstein.</t>
        </is>
      </c>
      <c r="H52" t="inlineStr">
        <is>
          <t>No</t>
        </is>
      </c>
      <c r="I52" t="inlineStr">
        <is>
          <t>1</t>
        </is>
      </c>
      <c r="J52" t="inlineStr">
        <is>
          <t>No</t>
        </is>
      </c>
      <c r="K52" t="inlineStr">
        <is>
          <t>No</t>
        </is>
      </c>
      <c r="L52" t="inlineStr">
        <is>
          <t>0</t>
        </is>
      </c>
      <c r="M52" t="inlineStr">
        <is>
          <t>Goldstein, Arnold S.</t>
        </is>
      </c>
      <c r="N52" t="inlineStr">
        <is>
          <t>Rockville, Md. : Aspen Publishers, c1989.</t>
        </is>
      </c>
      <c r="O52" t="inlineStr">
        <is>
          <t>1989</t>
        </is>
      </c>
      <c r="Q52" t="inlineStr">
        <is>
          <t>eng</t>
        </is>
      </c>
      <c r="R52" t="inlineStr">
        <is>
          <t>xxu</t>
        </is>
      </c>
      <c r="T52" t="inlineStr">
        <is>
          <t xml:space="preserve">W  </t>
        </is>
      </c>
      <c r="U52" t="n">
        <v>4</v>
      </c>
      <c r="V52" t="n">
        <v>4</v>
      </c>
      <c r="W52" t="inlineStr">
        <is>
          <t>1989-11-15</t>
        </is>
      </c>
      <c r="X52" t="inlineStr">
        <is>
          <t>1989-11-15</t>
        </is>
      </c>
      <c r="Y52" t="inlineStr">
        <is>
          <t>1989-11-06</t>
        </is>
      </c>
      <c r="Z52" t="inlineStr">
        <is>
          <t>1989-11-06</t>
        </is>
      </c>
      <c r="AA52" t="n">
        <v>170</v>
      </c>
      <c r="AB52" t="n">
        <v>153</v>
      </c>
      <c r="AC52" t="n">
        <v>154</v>
      </c>
      <c r="AD52" t="n">
        <v>1</v>
      </c>
      <c r="AE52" t="n">
        <v>1</v>
      </c>
      <c r="AF52" t="n">
        <v>7</v>
      </c>
      <c r="AG52" t="n">
        <v>7</v>
      </c>
      <c r="AH52" t="n">
        <v>2</v>
      </c>
      <c r="AI52" t="n">
        <v>2</v>
      </c>
      <c r="AJ52" t="n">
        <v>2</v>
      </c>
      <c r="AK52" t="n">
        <v>2</v>
      </c>
      <c r="AL52" t="n">
        <v>2</v>
      </c>
      <c r="AM52" t="n">
        <v>2</v>
      </c>
      <c r="AN52" t="n">
        <v>0</v>
      </c>
      <c r="AO52" t="n">
        <v>0</v>
      </c>
      <c r="AP52" t="n">
        <v>3</v>
      </c>
      <c r="AQ52" t="n">
        <v>3</v>
      </c>
      <c r="AR52" t="inlineStr">
        <is>
          <t>No</t>
        </is>
      </c>
      <c r="AS52" t="inlineStr">
        <is>
          <t>Yes</t>
        </is>
      </c>
      <c r="AT52">
        <f>HYPERLINK("http://catalog.hathitrust.org/Record/001545565","HathiTrust Record")</f>
        <v/>
      </c>
      <c r="AU52">
        <f>HYPERLINK("https://creighton-primo.hosted.exlibrisgroup.com/primo-explore/search?tab=default_tab&amp;search_scope=EVERYTHING&amp;vid=01CRU&amp;lang=en_US&amp;offset=0&amp;query=any,contains,991001315339702656","Catalog Record")</f>
        <v/>
      </c>
      <c r="AV52">
        <f>HYPERLINK("http://www.worldcat.org/oclc/20134020","WorldCat Record")</f>
        <v/>
      </c>
      <c r="AW52" t="inlineStr">
        <is>
          <t>21691051:eng</t>
        </is>
      </c>
      <c r="AX52" t="inlineStr">
        <is>
          <t>20134020</t>
        </is>
      </c>
      <c r="AY52" t="inlineStr">
        <is>
          <t>991001315339702656</t>
        </is>
      </c>
      <c r="AZ52" t="inlineStr">
        <is>
          <t>991001315339702656</t>
        </is>
      </c>
      <c r="BA52" t="inlineStr">
        <is>
          <t>2257809230002656</t>
        </is>
      </c>
      <c r="BB52" t="inlineStr">
        <is>
          <t>BOOK</t>
        </is>
      </c>
      <c r="BD52" t="inlineStr">
        <is>
          <t>9780834200777</t>
        </is>
      </c>
      <c r="BE52" t="inlineStr">
        <is>
          <t>30001001752627</t>
        </is>
      </c>
      <c r="BF52" t="inlineStr">
        <is>
          <t>893121401</t>
        </is>
      </c>
    </row>
    <row r="53">
      <c r="A53" t="inlineStr">
        <is>
          <t>No</t>
        </is>
      </c>
      <c r="B53" t="inlineStr">
        <is>
          <t>CUHSL</t>
        </is>
      </c>
      <c r="C53" t="inlineStr">
        <is>
          <t>SHELVES</t>
        </is>
      </c>
      <c r="D53" t="inlineStr">
        <is>
          <t>W 13 J11d 1998</t>
        </is>
      </c>
      <c r="E53" t="inlineStr">
        <is>
          <t>0                      W  0013000J  11d         1998</t>
        </is>
      </c>
      <c r="F53" t="inlineStr">
        <is>
          <t>Dictionary of medical acronyms &amp; abbreviations / Jablonski.</t>
        </is>
      </c>
      <c r="H53" t="inlineStr">
        <is>
          <t>No</t>
        </is>
      </c>
      <c r="I53" t="inlineStr">
        <is>
          <t>1</t>
        </is>
      </c>
      <c r="J53" t="inlineStr">
        <is>
          <t>No</t>
        </is>
      </c>
      <c r="K53" t="inlineStr">
        <is>
          <t>Yes</t>
        </is>
      </c>
      <c r="L53" t="inlineStr">
        <is>
          <t>0</t>
        </is>
      </c>
      <c r="M53" t="inlineStr">
        <is>
          <t>Jablonski, Stanley.</t>
        </is>
      </c>
      <c r="N53" t="inlineStr">
        <is>
          <t>Philadelphia : Hanley &amp; Belfus, c1998.</t>
        </is>
      </c>
      <c r="O53" t="inlineStr">
        <is>
          <t>1998</t>
        </is>
      </c>
      <c r="P53" t="inlineStr">
        <is>
          <t>3rd ed.</t>
        </is>
      </c>
      <c r="Q53" t="inlineStr">
        <is>
          <t>eng</t>
        </is>
      </c>
      <c r="R53" t="inlineStr">
        <is>
          <t>pau</t>
        </is>
      </c>
      <c r="T53" t="inlineStr">
        <is>
          <t xml:space="preserve">W  </t>
        </is>
      </c>
      <c r="U53" t="n">
        <v>9</v>
      </c>
      <c r="V53" t="n">
        <v>9</v>
      </c>
      <c r="W53" t="inlineStr">
        <is>
          <t>1998-07-27</t>
        </is>
      </c>
      <c r="X53" t="inlineStr">
        <is>
          <t>1998-07-27</t>
        </is>
      </c>
      <c r="Y53" t="inlineStr">
        <is>
          <t>1998-02-27</t>
        </is>
      </c>
      <c r="Z53" t="inlineStr">
        <is>
          <t>1998-02-27</t>
        </is>
      </c>
      <c r="AA53" t="n">
        <v>311</v>
      </c>
      <c r="AB53" t="n">
        <v>262</v>
      </c>
      <c r="AC53" t="n">
        <v>997</v>
      </c>
      <c r="AD53" t="n">
        <v>1</v>
      </c>
      <c r="AE53" t="n">
        <v>4</v>
      </c>
      <c r="AF53" t="n">
        <v>4</v>
      </c>
      <c r="AG53" t="n">
        <v>19</v>
      </c>
      <c r="AH53" t="n">
        <v>0</v>
      </c>
      <c r="AI53" t="n">
        <v>7</v>
      </c>
      <c r="AJ53" t="n">
        <v>1</v>
      </c>
      <c r="AK53" t="n">
        <v>3</v>
      </c>
      <c r="AL53" t="n">
        <v>4</v>
      </c>
      <c r="AM53" t="n">
        <v>9</v>
      </c>
      <c r="AN53" t="n">
        <v>0</v>
      </c>
      <c r="AO53" t="n">
        <v>2</v>
      </c>
      <c r="AP53" t="n">
        <v>0</v>
      </c>
      <c r="AQ53" t="n">
        <v>1</v>
      </c>
      <c r="AR53" t="inlineStr">
        <is>
          <t>No</t>
        </is>
      </c>
      <c r="AS53" t="inlineStr">
        <is>
          <t>Yes</t>
        </is>
      </c>
      <c r="AT53">
        <f>HYPERLINK("http://catalog.hathitrust.org/Record/003958825","HathiTrust Record")</f>
        <v/>
      </c>
      <c r="AU53">
        <f>HYPERLINK("https://creighton-primo.hosted.exlibrisgroup.com/primo-explore/search?tab=default_tab&amp;search_scope=EVERYTHING&amp;vid=01CRU&amp;lang=en_US&amp;offset=0&amp;query=any,contains,991001306309702656","Catalog Record")</f>
        <v/>
      </c>
      <c r="AV53">
        <f>HYPERLINK("http://www.worldcat.org/oclc/38161435","WorldCat Record")</f>
        <v/>
      </c>
      <c r="AW53" t="inlineStr">
        <is>
          <t>9912637:eng</t>
        </is>
      </c>
      <c r="AX53" t="inlineStr">
        <is>
          <t>38161435</t>
        </is>
      </c>
      <c r="AY53" t="inlineStr">
        <is>
          <t>991001306309702656</t>
        </is>
      </c>
      <c r="AZ53" t="inlineStr">
        <is>
          <t>991001306309702656</t>
        </is>
      </c>
      <c r="BA53" t="inlineStr">
        <is>
          <t>2267158530002656</t>
        </is>
      </c>
      <c r="BB53" t="inlineStr">
        <is>
          <t>BOOK</t>
        </is>
      </c>
      <c r="BD53" t="inlineStr">
        <is>
          <t>9781560532644</t>
        </is>
      </c>
      <c r="BE53" t="inlineStr">
        <is>
          <t>30001003749894</t>
        </is>
      </c>
      <c r="BF53" t="inlineStr">
        <is>
          <t>893736452</t>
        </is>
      </c>
    </row>
    <row r="54">
      <c r="A54" t="inlineStr">
        <is>
          <t>No</t>
        </is>
      </c>
      <c r="B54" t="inlineStr">
        <is>
          <t>CUHSL</t>
        </is>
      </c>
      <c r="C54" t="inlineStr">
        <is>
          <t>SHELVES</t>
        </is>
      </c>
      <c r="D54" t="inlineStr">
        <is>
          <t>W 13 M647e 1983 c.2</t>
        </is>
      </c>
      <c r="E54" t="inlineStr">
        <is>
          <t>0                      W  0013000M  647e        1983                                        c.2</t>
        </is>
      </c>
      <c r="F54" t="inlineStr">
        <is>
          <t>Encyclopedia and dictionary of medicine, nursing, and allied health / by the late Benjamin F. Miller and Claire Brackman Keane.</t>
        </is>
      </c>
      <c r="G54" t="inlineStr">
        <is>
          <t>c.2*</t>
        </is>
      </c>
      <c r="H54" t="inlineStr">
        <is>
          <t>No</t>
        </is>
      </c>
      <c r="I54" t="inlineStr">
        <is>
          <t>1</t>
        </is>
      </c>
      <c r="J54" t="inlineStr">
        <is>
          <t>No</t>
        </is>
      </c>
      <c r="K54" t="inlineStr">
        <is>
          <t>Yes</t>
        </is>
      </c>
      <c r="L54" t="inlineStr">
        <is>
          <t>0</t>
        </is>
      </c>
      <c r="M54" t="inlineStr">
        <is>
          <t>Miller, Benjamin Frank, 1907-1971.</t>
        </is>
      </c>
      <c r="N54" t="inlineStr">
        <is>
          <t>Philadelphia : Saunders, c1983.</t>
        </is>
      </c>
      <c r="O54" t="inlineStr">
        <is>
          <t>1983</t>
        </is>
      </c>
      <c r="P54" t="inlineStr">
        <is>
          <t>3rd ed.</t>
        </is>
      </c>
      <c r="Q54" t="inlineStr">
        <is>
          <t>eng</t>
        </is>
      </c>
      <c r="R54" t="inlineStr">
        <is>
          <t>xxu</t>
        </is>
      </c>
      <c r="T54" t="inlineStr">
        <is>
          <t xml:space="preserve">W  </t>
        </is>
      </c>
      <c r="U54" t="n">
        <v>12</v>
      </c>
      <c r="V54" t="n">
        <v>12</v>
      </c>
      <c r="W54" t="inlineStr">
        <is>
          <t>1989-09-20</t>
        </is>
      </c>
      <c r="X54" t="inlineStr">
        <is>
          <t>1989-09-20</t>
        </is>
      </c>
      <c r="Y54" t="inlineStr">
        <is>
          <t>1989-07-09</t>
        </is>
      </c>
      <c r="Z54" t="inlineStr">
        <is>
          <t>1989-07-09</t>
        </is>
      </c>
      <c r="AA54" t="n">
        <v>380</v>
      </c>
      <c r="AB54" t="n">
        <v>333</v>
      </c>
      <c r="AC54" t="n">
        <v>1471</v>
      </c>
      <c r="AD54" t="n">
        <v>1</v>
      </c>
      <c r="AE54" t="n">
        <v>5</v>
      </c>
      <c r="AF54" t="n">
        <v>4</v>
      </c>
      <c r="AG54" t="n">
        <v>29</v>
      </c>
      <c r="AH54" t="n">
        <v>3</v>
      </c>
      <c r="AI54" t="n">
        <v>13</v>
      </c>
      <c r="AJ54" t="n">
        <v>0</v>
      </c>
      <c r="AK54" t="n">
        <v>5</v>
      </c>
      <c r="AL54" t="n">
        <v>2</v>
      </c>
      <c r="AM54" t="n">
        <v>12</v>
      </c>
      <c r="AN54" t="n">
        <v>0</v>
      </c>
      <c r="AO54" t="n">
        <v>2</v>
      </c>
      <c r="AP54" t="n">
        <v>0</v>
      </c>
      <c r="AQ54" t="n">
        <v>2</v>
      </c>
      <c r="AR54" t="inlineStr">
        <is>
          <t>No</t>
        </is>
      </c>
      <c r="AS54" t="inlineStr">
        <is>
          <t>Yes</t>
        </is>
      </c>
      <c r="AT54">
        <f>HYPERLINK("http://catalog.hathitrust.org/Record/008852213","HathiTrust Record")</f>
        <v/>
      </c>
      <c r="AU54">
        <f>HYPERLINK("https://creighton-primo.hosted.exlibrisgroup.com/primo-explore/search?tab=default_tab&amp;search_scope=EVERYTHING&amp;vid=01CRU&amp;lang=en_US&amp;offset=0&amp;query=any,contains,991000757459702656","Catalog Record")</f>
        <v/>
      </c>
      <c r="AV54">
        <f>HYPERLINK("http://www.worldcat.org/oclc/8709241","WorldCat Record")</f>
        <v/>
      </c>
      <c r="AW54" t="inlineStr">
        <is>
          <t>9037643:eng</t>
        </is>
      </c>
      <c r="AX54" t="inlineStr">
        <is>
          <t>8709241</t>
        </is>
      </c>
      <c r="AY54" t="inlineStr">
        <is>
          <t>991000757459702656</t>
        </is>
      </c>
      <c r="AZ54" t="inlineStr">
        <is>
          <t>991000757459702656</t>
        </is>
      </c>
      <c r="BA54" t="inlineStr">
        <is>
          <t>2272450230002656</t>
        </is>
      </c>
      <c r="BB54" t="inlineStr">
        <is>
          <t>BOOK</t>
        </is>
      </c>
      <c r="BD54" t="inlineStr">
        <is>
          <t>9780721663630</t>
        </is>
      </c>
      <c r="BE54" t="inlineStr">
        <is>
          <t>30001000054181</t>
        </is>
      </c>
      <c r="BF54" t="inlineStr">
        <is>
          <t>893278087</t>
        </is>
      </c>
    </row>
    <row r="55">
      <c r="A55" t="inlineStr">
        <is>
          <t>No</t>
        </is>
      </c>
      <c r="B55" t="inlineStr">
        <is>
          <t>CUHSL</t>
        </is>
      </c>
      <c r="C55" t="inlineStr">
        <is>
          <t>SHELVES</t>
        </is>
      </c>
      <c r="D55" t="inlineStr">
        <is>
          <t>W 13 M647e 1987</t>
        </is>
      </c>
      <c r="E55" t="inlineStr">
        <is>
          <t>0                      W  0013000M  647e        1987</t>
        </is>
      </c>
      <c r="F55" t="inlineStr">
        <is>
          <t>Encyclopedia and dictionary of medicine, nursing, and allied health / by Benjamin F. Miller and Claire Brackman Keane.</t>
        </is>
      </c>
      <c r="H55" t="inlineStr">
        <is>
          <t>No</t>
        </is>
      </c>
      <c r="I55" t="inlineStr">
        <is>
          <t>1</t>
        </is>
      </c>
      <c r="J55" t="inlineStr">
        <is>
          <t>No</t>
        </is>
      </c>
      <c r="K55" t="inlineStr">
        <is>
          <t>Yes</t>
        </is>
      </c>
      <c r="L55" t="inlineStr">
        <is>
          <t>0</t>
        </is>
      </c>
      <c r="M55" t="inlineStr">
        <is>
          <t>Miller, Benjamin Frank, 1907-1971.</t>
        </is>
      </c>
      <c r="N55" t="inlineStr">
        <is>
          <t>Philadelphia : Saunders, c1987.</t>
        </is>
      </c>
      <c r="O55" t="inlineStr">
        <is>
          <t>1987</t>
        </is>
      </c>
      <c r="P55" t="inlineStr">
        <is>
          <t>4th ed.</t>
        </is>
      </c>
      <c r="Q55" t="inlineStr">
        <is>
          <t>eng</t>
        </is>
      </c>
      <c r="R55" t="inlineStr">
        <is>
          <t>xxu</t>
        </is>
      </c>
      <c r="T55" t="inlineStr">
        <is>
          <t xml:space="preserve">W  </t>
        </is>
      </c>
      <c r="U55" t="n">
        <v>24</v>
      </c>
      <c r="V55" t="n">
        <v>24</v>
      </c>
      <c r="W55" t="inlineStr">
        <is>
          <t>1993-09-05</t>
        </is>
      </c>
      <c r="X55" t="inlineStr">
        <is>
          <t>1993-09-05</t>
        </is>
      </c>
      <c r="Y55" t="inlineStr">
        <is>
          <t>1987-10-04</t>
        </is>
      </c>
      <c r="Z55" t="inlineStr">
        <is>
          <t>1987-10-04</t>
        </is>
      </c>
      <c r="AA55" t="n">
        <v>549</v>
      </c>
      <c r="AB55" t="n">
        <v>443</v>
      </c>
      <c r="AC55" t="n">
        <v>1471</v>
      </c>
      <c r="AD55" t="n">
        <v>1</v>
      </c>
      <c r="AE55" t="n">
        <v>5</v>
      </c>
      <c r="AF55" t="n">
        <v>7</v>
      </c>
      <c r="AG55" t="n">
        <v>29</v>
      </c>
      <c r="AH55" t="n">
        <v>2</v>
      </c>
      <c r="AI55" t="n">
        <v>13</v>
      </c>
      <c r="AJ55" t="n">
        <v>2</v>
      </c>
      <c r="AK55" t="n">
        <v>5</v>
      </c>
      <c r="AL55" t="n">
        <v>3</v>
      </c>
      <c r="AM55" t="n">
        <v>12</v>
      </c>
      <c r="AN55" t="n">
        <v>0</v>
      </c>
      <c r="AO55" t="n">
        <v>2</v>
      </c>
      <c r="AP55" t="n">
        <v>1</v>
      </c>
      <c r="AQ55" t="n">
        <v>2</v>
      </c>
      <c r="AR55" t="inlineStr">
        <is>
          <t>No</t>
        </is>
      </c>
      <c r="AS55" t="inlineStr">
        <is>
          <t>Yes</t>
        </is>
      </c>
      <c r="AT55">
        <f>HYPERLINK("http://catalog.hathitrust.org/Record/000808661","HathiTrust Record")</f>
        <v/>
      </c>
      <c r="AU55">
        <f>HYPERLINK("https://creighton-primo.hosted.exlibrisgroup.com/primo-explore/search?tab=default_tab&amp;search_scope=EVERYTHING&amp;vid=01CRU&amp;lang=en_US&amp;offset=0&amp;query=any,contains,991000588309702656","Catalog Record")</f>
        <v/>
      </c>
      <c r="AV55">
        <f>HYPERLINK("http://www.worldcat.org/oclc/14587064","WorldCat Record")</f>
        <v/>
      </c>
      <c r="AW55" t="inlineStr">
        <is>
          <t>9037643:eng</t>
        </is>
      </c>
      <c r="AX55" t="inlineStr">
        <is>
          <t>14587064</t>
        </is>
      </c>
      <c r="AY55" t="inlineStr">
        <is>
          <t>991000588309702656</t>
        </is>
      </c>
      <c r="AZ55" t="inlineStr">
        <is>
          <t>991000588309702656</t>
        </is>
      </c>
      <c r="BA55" t="inlineStr">
        <is>
          <t>2271637920002656</t>
        </is>
      </c>
      <c r="BB55" t="inlineStr">
        <is>
          <t>BOOK</t>
        </is>
      </c>
      <c r="BD55" t="inlineStr">
        <is>
          <t>9780721618159</t>
        </is>
      </c>
      <c r="BE55" t="inlineStr">
        <is>
          <t>30001000005175</t>
        </is>
      </c>
      <c r="BF55" t="inlineStr">
        <is>
          <t>893833949</t>
        </is>
      </c>
    </row>
    <row r="56">
      <c r="A56" t="inlineStr">
        <is>
          <t>No</t>
        </is>
      </c>
      <c r="B56" t="inlineStr">
        <is>
          <t>CUHSL</t>
        </is>
      </c>
      <c r="C56" t="inlineStr">
        <is>
          <t>SHELVES</t>
        </is>
      </c>
      <c r="D56" t="inlineStr">
        <is>
          <t>W 13 M8941 1994</t>
        </is>
      </c>
      <c r="E56" t="inlineStr">
        <is>
          <t>0                      W  0013000M  8941        1994</t>
        </is>
      </c>
      <c r="F56" t="inlineStr">
        <is>
          <t>Mosby's medical, nursing, and allied health dictionary : illustrated in full color throughout / revision editor, Kenneth N. Anderson ; consulting editor and writer, Lois E. Anderson ; consulting and pronunciation editor, Walter D. Glanze.</t>
        </is>
      </c>
      <c r="H56" t="inlineStr">
        <is>
          <t>No</t>
        </is>
      </c>
      <c r="I56" t="inlineStr">
        <is>
          <t>1</t>
        </is>
      </c>
      <c r="J56" t="inlineStr">
        <is>
          <t>No</t>
        </is>
      </c>
      <c r="K56" t="inlineStr">
        <is>
          <t>Yes</t>
        </is>
      </c>
      <c r="L56" t="inlineStr">
        <is>
          <t>0</t>
        </is>
      </c>
      <c r="N56" t="inlineStr">
        <is>
          <t>St. Louis : Mosby, c1994.</t>
        </is>
      </c>
      <c r="O56" t="inlineStr">
        <is>
          <t>1994</t>
        </is>
      </c>
      <c r="P56" t="inlineStr">
        <is>
          <t>4th ed.</t>
        </is>
      </c>
      <c r="Q56" t="inlineStr">
        <is>
          <t>eng</t>
        </is>
      </c>
      <c r="R56" t="inlineStr">
        <is>
          <t>mou</t>
        </is>
      </c>
      <c r="T56" t="inlineStr">
        <is>
          <t xml:space="preserve">W  </t>
        </is>
      </c>
      <c r="U56" t="n">
        <v>48</v>
      </c>
      <c r="V56" t="n">
        <v>48</v>
      </c>
      <c r="W56" t="inlineStr">
        <is>
          <t>1999-02-15</t>
        </is>
      </c>
      <c r="X56" t="inlineStr">
        <is>
          <t>1999-02-15</t>
        </is>
      </c>
      <c r="Y56" t="inlineStr">
        <is>
          <t>1995-01-05</t>
        </is>
      </c>
      <c r="Z56" t="inlineStr">
        <is>
          <t>1995-01-05</t>
        </is>
      </c>
      <c r="AA56" t="n">
        <v>700</v>
      </c>
      <c r="AB56" t="n">
        <v>601</v>
      </c>
      <c r="AC56" t="n">
        <v>1206</v>
      </c>
      <c r="AD56" t="n">
        <v>2</v>
      </c>
      <c r="AE56" t="n">
        <v>3</v>
      </c>
      <c r="AF56" t="n">
        <v>7</v>
      </c>
      <c r="AG56" t="n">
        <v>15</v>
      </c>
      <c r="AH56" t="n">
        <v>2</v>
      </c>
      <c r="AI56" t="n">
        <v>3</v>
      </c>
      <c r="AJ56" t="n">
        <v>2</v>
      </c>
      <c r="AK56" t="n">
        <v>4</v>
      </c>
      <c r="AL56" t="n">
        <v>5</v>
      </c>
      <c r="AM56" t="n">
        <v>9</v>
      </c>
      <c r="AN56" t="n">
        <v>0</v>
      </c>
      <c r="AO56" t="n">
        <v>0</v>
      </c>
      <c r="AP56" t="n">
        <v>0</v>
      </c>
      <c r="AQ56" t="n">
        <v>1</v>
      </c>
      <c r="AR56" t="inlineStr">
        <is>
          <t>No</t>
        </is>
      </c>
      <c r="AS56" t="inlineStr">
        <is>
          <t>No</t>
        </is>
      </c>
      <c r="AU56">
        <f>HYPERLINK("https://creighton-primo.hosted.exlibrisgroup.com/primo-explore/search?tab=default_tab&amp;search_scope=EVERYTHING&amp;vid=01CRU&amp;lang=en_US&amp;offset=0&amp;query=any,contains,991000684399702656","Catalog Record")</f>
        <v/>
      </c>
      <c r="AV56">
        <f>HYPERLINK("http://www.worldcat.org/oclc/29185395","WorldCat Record")</f>
        <v/>
      </c>
      <c r="AW56" t="inlineStr">
        <is>
          <t>375483287:eng</t>
        </is>
      </c>
      <c r="AX56" t="inlineStr">
        <is>
          <t>29185395</t>
        </is>
      </c>
      <c r="AY56" t="inlineStr">
        <is>
          <t>991000684399702656</t>
        </is>
      </c>
      <c r="AZ56" t="inlineStr">
        <is>
          <t>991000684399702656</t>
        </is>
      </c>
      <c r="BA56" t="inlineStr">
        <is>
          <t>2260798350002656</t>
        </is>
      </c>
      <c r="BB56" t="inlineStr">
        <is>
          <t>BOOK</t>
        </is>
      </c>
      <c r="BD56" t="inlineStr">
        <is>
          <t>9780801672255</t>
        </is>
      </c>
      <c r="BE56" t="inlineStr">
        <is>
          <t>30001002698563</t>
        </is>
      </c>
      <c r="BF56" t="inlineStr">
        <is>
          <t>893834152</t>
        </is>
      </c>
    </row>
    <row r="57">
      <c r="A57" t="inlineStr">
        <is>
          <t>No</t>
        </is>
      </c>
      <c r="B57" t="inlineStr">
        <is>
          <t>CUHSL</t>
        </is>
      </c>
      <c r="C57" t="inlineStr">
        <is>
          <t>SHELVES</t>
        </is>
      </c>
      <c r="D57" t="inlineStr">
        <is>
          <t>W 13 S352r 1958</t>
        </is>
      </c>
      <c r="E57" t="inlineStr">
        <is>
          <t>0                      W  0013000S  352r        1958</t>
        </is>
      </c>
      <c r="F57" t="inlineStr">
        <is>
          <t>Reversicon : a medical word finder / J.E. Schmidt.</t>
        </is>
      </c>
      <c r="H57" t="inlineStr">
        <is>
          <t>No</t>
        </is>
      </c>
      <c r="I57" t="inlineStr">
        <is>
          <t>1</t>
        </is>
      </c>
      <c r="J57" t="inlineStr">
        <is>
          <t>No</t>
        </is>
      </c>
      <c r="K57" t="inlineStr">
        <is>
          <t>No</t>
        </is>
      </c>
      <c r="L57" t="inlineStr">
        <is>
          <t>0</t>
        </is>
      </c>
      <c r="M57" t="inlineStr">
        <is>
          <t>Schmidt, J. E. (Jacob Edward), 1903-</t>
        </is>
      </c>
      <c r="N57" t="inlineStr">
        <is>
          <t>Springfield, Ill. : Thomas, c1958.</t>
        </is>
      </c>
      <c r="O57" t="inlineStr">
        <is>
          <t>1958</t>
        </is>
      </c>
      <c r="Q57" t="inlineStr">
        <is>
          <t>eng</t>
        </is>
      </c>
      <c r="R57" t="inlineStr">
        <is>
          <t xml:space="preserve">xx </t>
        </is>
      </c>
      <c r="T57" t="inlineStr">
        <is>
          <t xml:space="preserve">W  </t>
        </is>
      </c>
      <c r="U57" t="n">
        <v>4</v>
      </c>
      <c r="V57" t="n">
        <v>4</v>
      </c>
      <c r="W57" t="inlineStr">
        <is>
          <t>1990-10-18</t>
        </is>
      </c>
      <c r="X57" t="inlineStr">
        <is>
          <t>1990-10-18</t>
        </is>
      </c>
      <c r="Y57" t="inlineStr">
        <is>
          <t>1990-10-18</t>
        </is>
      </c>
      <c r="Z57" t="inlineStr">
        <is>
          <t>1990-10-18</t>
        </is>
      </c>
      <c r="AA57" t="n">
        <v>207</v>
      </c>
      <c r="AB57" t="n">
        <v>170</v>
      </c>
      <c r="AC57" t="n">
        <v>343</v>
      </c>
      <c r="AD57" t="n">
        <v>1</v>
      </c>
      <c r="AE57" t="n">
        <v>3</v>
      </c>
      <c r="AF57" t="n">
        <v>2</v>
      </c>
      <c r="AG57" t="n">
        <v>12</v>
      </c>
      <c r="AH57" t="n">
        <v>1</v>
      </c>
      <c r="AI57" t="n">
        <v>4</v>
      </c>
      <c r="AJ57" t="n">
        <v>0</v>
      </c>
      <c r="AK57" t="n">
        <v>2</v>
      </c>
      <c r="AL57" t="n">
        <v>0</v>
      </c>
      <c r="AM57" t="n">
        <v>0</v>
      </c>
      <c r="AN57" t="n">
        <v>0</v>
      </c>
      <c r="AO57" t="n">
        <v>1</v>
      </c>
      <c r="AP57" t="n">
        <v>1</v>
      </c>
      <c r="AQ57" t="n">
        <v>6</v>
      </c>
      <c r="AR57" t="inlineStr">
        <is>
          <t>Yes</t>
        </is>
      </c>
      <c r="AS57" t="inlineStr">
        <is>
          <t>No</t>
        </is>
      </c>
      <c r="AT57">
        <f>HYPERLINK("http://catalog.hathitrust.org/Record/001556834","HathiTrust Record")</f>
        <v/>
      </c>
      <c r="AU57">
        <f>HYPERLINK("https://creighton-primo.hosted.exlibrisgroup.com/primo-explore/search?tab=default_tab&amp;search_scope=EVERYTHING&amp;vid=01CRU&amp;lang=en_US&amp;offset=0&amp;query=any,contains,991000769729702656","Catalog Record")</f>
        <v/>
      </c>
      <c r="AV57">
        <f>HYPERLINK("http://www.worldcat.org/oclc/722042","WorldCat Record")</f>
        <v/>
      </c>
      <c r="AW57" t="inlineStr">
        <is>
          <t>1706325:eng</t>
        </is>
      </c>
      <c r="AX57" t="inlineStr">
        <is>
          <t>722042</t>
        </is>
      </c>
      <c r="AY57" t="inlineStr">
        <is>
          <t>991000769729702656</t>
        </is>
      </c>
      <c r="AZ57" t="inlineStr">
        <is>
          <t>991000769729702656</t>
        </is>
      </c>
      <c r="BA57" t="inlineStr">
        <is>
          <t>2266851060002656</t>
        </is>
      </c>
      <c r="BB57" t="inlineStr">
        <is>
          <t>BOOK</t>
        </is>
      </c>
      <c r="BE57" t="inlineStr">
        <is>
          <t>30001002061838</t>
        </is>
      </c>
      <c r="BF57" t="inlineStr">
        <is>
          <t>893740186</t>
        </is>
      </c>
    </row>
    <row r="58">
      <c r="A58" t="inlineStr">
        <is>
          <t>No</t>
        </is>
      </c>
      <c r="B58" t="inlineStr">
        <is>
          <t>CUHSL</t>
        </is>
      </c>
      <c r="C58" t="inlineStr">
        <is>
          <t>SHELVES</t>
        </is>
      </c>
      <c r="D58" t="inlineStr">
        <is>
          <t>W 13 S4545d 1992</t>
        </is>
      </c>
      <c r="E58" t="inlineStr">
        <is>
          <t>0                      W  0013000S  4545d       1992</t>
        </is>
      </c>
      <c r="F58" t="inlineStr">
        <is>
          <t>The dictionary of modern medicine / compiled and edited by J.C. Segen.</t>
        </is>
      </c>
      <c r="H58" t="inlineStr">
        <is>
          <t>No</t>
        </is>
      </c>
      <c r="I58" t="inlineStr">
        <is>
          <t>1</t>
        </is>
      </c>
      <c r="J58" t="inlineStr">
        <is>
          <t>No</t>
        </is>
      </c>
      <c r="K58" t="inlineStr">
        <is>
          <t>No</t>
        </is>
      </c>
      <c r="L58" t="inlineStr">
        <is>
          <t>0</t>
        </is>
      </c>
      <c r="M58" t="inlineStr">
        <is>
          <t>Segen, J. C.</t>
        </is>
      </c>
      <c r="N58" t="inlineStr">
        <is>
          <t>Carnforth, Lancs, UK : Park Ridge, N.J. : Parthenon Pub. Group, c1992.</t>
        </is>
      </c>
      <c r="O58" t="inlineStr">
        <is>
          <t>1992</t>
        </is>
      </c>
      <c r="Q58" t="inlineStr">
        <is>
          <t>eng</t>
        </is>
      </c>
      <c r="R58" t="inlineStr">
        <is>
          <t>enk</t>
        </is>
      </c>
      <c r="T58" t="inlineStr">
        <is>
          <t xml:space="preserve">W  </t>
        </is>
      </c>
      <c r="U58" t="n">
        <v>13</v>
      </c>
      <c r="V58" t="n">
        <v>13</v>
      </c>
      <c r="W58" t="inlineStr">
        <is>
          <t>1994-01-05</t>
        </is>
      </c>
      <c r="X58" t="inlineStr">
        <is>
          <t>1994-01-05</t>
        </is>
      </c>
      <c r="Y58" t="inlineStr">
        <is>
          <t>1993-12-16</t>
        </is>
      </c>
      <c r="Z58" t="inlineStr">
        <is>
          <t>1993-12-16</t>
        </is>
      </c>
      <c r="AA58" t="n">
        <v>281</v>
      </c>
      <c r="AB58" t="n">
        <v>200</v>
      </c>
      <c r="AC58" t="n">
        <v>216</v>
      </c>
      <c r="AD58" t="n">
        <v>1</v>
      </c>
      <c r="AE58" t="n">
        <v>1</v>
      </c>
      <c r="AF58" t="n">
        <v>3</v>
      </c>
      <c r="AG58" t="n">
        <v>3</v>
      </c>
      <c r="AH58" t="n">
        <v>1</v>
      </c>
      <c r="AI58" t="n">
        <v>1</v>
      </c>
      <c r="AJ58" t="n">
        <v>2</v>
      </c>
      <c r="AK58" t="n">
        <v>2</v>
      </c>
      <c r="AL58" t="n">
        <v>1</v>
      </c>
      <c r="AM58" t="n">
        <v>1</v>
      </c>
      <c r="AN58" t="n">
        <v>0</v>
      </c>
      <c r="AO58" t="n">
        <v>0</v>
      </c>
      <c r="AP58" t="n">
        <v>0</v>
      </c>
      <c r="AQ58" t="n">
        <v>0</v>
      </c>
      <c r="AR58" t="inlineStr">
        <is>
          <t>No</t>
        </is>
      </c>
      <c r="AS58" t="inlineStr">
        <is>
          <t>No</t>
        </is>
      </c>
      <c r="AU58">
        <f>HYPERLINK("https://creighton-primo.hosted.exlibrisgroup.com/primo-explore/search?tab=default_tab&amp;search_scope=EVERYTHING&amp;vid=01CRU&amp;lang=en_US&amp;offset=0&amp;query=any,contains,991000647549702656","Catalog Record")</f>
        <v/>
      </c>
      <c r="AV58">
        <f>HYPERLINK("http://www.worldcat.org/oclc/24870535","WorldCat Record")</f>
        <v/>
      </c>
      <c r="AW58" t="inlineStr">
        <is>
          <t>3090497:eng</t>
        </is>
      </c>
      <c r="AX58" t="inlineStr">
        <is>
          <t>24870535</t>
        </is>
      </c>
      <c r="AY58" t="inlineStr">
        <is>
          <t>991000647549702656</t>
        </is>
      </c>
      <c r="AZ58" t="inlineStr">
        <is>
          <t>991000647549702656</t>
        </is>
      </c>
      <c r="BA58" t="inlineStr">
        <is>
          <t>2264202650002656</t>
        </is>
      </c>
      <c r="BB58" t="inlineStr">
        <is>
          <t>BOOK</t>
        </is>
      </c>
      <c r="BD58" t="inlineStr">
        <is>
          <t>9781850703211</t>
        </is>
      </c>
      <c r="BE58" t="inlineStr">
        <is>
          <t>30001002690594</t>
        </is>
      </c>
      <c r="BF58" t="inlineStr">
        <is>
          <t>893459568</t>
        </is>
      </c>
    </row>
    <row r="59">
      <c r="A59" t="inlineStr">
        <is>
          <t>No</t>
        </is>
      </c>
      <c r="B59" t="inlineStr">
        <is>
          <t>CUHSL</t>
        </is>
      </c>
      <c r="C59" t="inlineStr">
        <is>
          <t>SHELVES</t>
        </is>
      </c>
      <c r="D59" t="inlineStr">
        <is>
          <t>W 13 S8119 1999</t>
        </is>
      </c>
      <c r="E59" t="inlineStr">
        <is>
          <t>0                      W  0013000S  8119        1999</t>
        </is>
      </c>
      <c r="F59" t="inlineStr">
        <is>
          <t>Stedman's abbrev. : abbreviations, acronyms &amp; symbols.</t>
        </is>
      </c>
      <c r="H59" t="inlineStr">
        <is>
          <t>No</t>
        </is>
      </c>
      <c r="I59" t="inlineStr">
        <is>
          <t>1</t>
        </is>
      </c>
      <c r="J59" t="inlineStr">
        <is>
          <t>No</t>
        </is>
      </c>
      <c r="K59" t="inlineStr">
        <is>
          <t>Yes</t>
        </is>
      </c>
      <c r="L59" t="inlineStr">
        <is>
          <t>0</t>
        </is>
      </c>
      <c r="N59" t="inlineStr">
        <is>
          <t>Baltimore : Lippincott Williams &amp; Wilkins, c1999.</t>
        </is>
      </c>
      <c r="O59" t="inlineStr">
        <is>
          <t>1999</t>
        </is>
      </c>
      <c r="P59" t="inlineStr">
        <is>
          <t>2nd ed.</t>
        </is>
      </c>
      <c r="Q59" t="inlineStr">
        <is>
          <t>eng</t>
        </is>
      </c>
      <c r="R59" t="inlineStr">
        <is>
          <t>mdu</t>
        </is>
      </c>
      <c r="S59" t="inlineStr">
        <is>
          <t>Stedman's word book series</t>
        </is>
      </c>
      <c r="T59" t="inlineStr">
        <is>
          <t xml:space="preserve">W  </t>
        </is>
      </c>
      <c r="U59" t="n">
        <v>42</v>
      </c>
      <c r="V59" t="n">
        <v>42</v>
      </c>
      <c r="W59" t="inlineStr">
        <is>
          <t>2006-10-18</t>
        </is>
      </c>
      <c r="X59" t="inlineStr">
        <is>
          <t>2006-10-18</t>
        </is>
      </c>
      <c r="Y59" t="inlineStr">
        <is>
          <t>1999-02-18</t>
        </is>
      </c>
      <c r="Z59" t="inlineStr">
        <is>
          <t>1999-02-18</t>
        </is>
      </c>
      <c r="AA59" t="n">
        <v>347</v>
      </c>
      <c r="AB59" t="n">
        <v>318</v>
      </c>
      <c r="AC59" t="n">
        <v>671</v>
      </c>
      <c r="AD59" t="n">
        <v>3</v>
      </c>
      <c r="AE59" t="n">
        <v>4</v>
      </c>
      <c r="AF59" t="n">
        <v>8</v>
      </c>
      <c r="AG59" t="n">
        <v>19</v>
      </c>
      <c r="AH59" t="n">
        <v>2</v>
      </c>
      <c r="AI59" t="n">
        <v>6</v>
      </c>
      <c r="AJ59" t="n">
        <v>2</v>
      </c>
      <c r="AK59" t="n">
        <v>3</v>
      </c>
      <c r="AL59" t="n">
        <v>5</v>
      </c>
      <c r="AM59" t="n">
        <v>11</v>
      </c>
      <c r="AN59" t="n">
        <v>0</v>
      </c>
      <c r="AO59" t="n">
        <v>1</v>
      </c>
      <c r="AP59" t="n">
        <v>0</v>
      </c>
      <c r="AQ59" t="n">
        <v>1</v>
      </c>
      <c r="AR59" t="inlineStr">
        <is>
          <t>No</t>
        </is>
      </c>
      <c r="AS59" t="inlineStr">
        <is>
          <t>Yes</t>
        </is>
      </c>
      <c r="AT59">
        <f>HYPERLINK("http://catalog.hathitrust.org/Record/004014946","HathiTrust Record")</f>
        <v/>
      </c>
      <c r="AU59">
        <f>HYPERLINK("https://creighton-primo.hosted.exlibrisgroup.com/primo-explore/search?tab=default_tab&amp;search_scope=EVERYTHING&amp;vid=01CRU&amp;lang=en_US&amp;offset=0&amp;query=any,contains,991000869679702656","Catalog Record")</f>
        <v/>
      </c>
      <c r="AV59">
        <f>HYPERLINK("http://www.worldcat.org/oclc/39982608","WorldCat Record")</f>
        <v/>
      </c>
      <c r="AW59" t="inlineStr">
        <is>
          <t>836900940:eng</t>
        </is>
      </c>
      <c r="AX59" t="inlineStr">
        <is>
          <t>39982608</t>
        </is>
      </c>
      <c r="AY59" t="inlineStr">
        <is>
          <t>991000869679702656</t>
        </is>
      </c>
      <c r="AZ59" t="inlineStr">
        <is>
          <t>991000869679702656</t>
        </is>
      </c>
      <c r="BA59" t="inlineStr">
        <is>
          <t>2258001050002656</t>
        </is>
      </c>
      <c r="BB59" t="inlineStr">
        <is>
          <t>BOOK</t>
        </is>
      </c>
      <c r="BD59" t="inlineStr">
        <is>
          <t>9780683404593</t>
        </is>
      </c>
      <c r="BE59" t="inlineStr">
        <is>
          <t>30001004155737</t>
        </is>
      </c>
      <c r="BF59" t="inlineStr">
        <is>
          <t>893546158</t>
        </is>
      </c>
    </row>
    <row r="60">
      <c r="A60" t="inlineStr">
        <is>
          <t>No</t>
        </is>
      </c>
      <c r="B60" t="inlineStr">
        <is>
          <t>CUHSL</t>
        </is>
      </c>
      <c r="C60" t="inlineStr">
        <is>
          <t>SHELVES</t>
        </is>
      </c>
      <c r="D60" t="inlineStr">
        <is>
          <t>W13 S8119 2003</t>
        </is>
      </c>
      <c r="E60" t="inlineStr">
        <is>
          <t>0                      W  0013000S  8119        2003</t>
        </is>
      </c>
      <c r="F60" t="inlineStr">
        <is>
          <t>Stedman's abbrev : abbreviations, acronyms &amp; symbols.</t>
        </is>
      </c>
      <c r="H60" t="inlineStr">
        <is>
          <t>No</t>
        </is>
      </c>
      <c r="I60" t="inlineStr">
        <is>
          <t>1</t>
        </is>
      </c>
      <c r="J60" t="inlineStr">
        <is>
          <t>No</t>
        </is>
      </c>
      <c r="K60" t="inlineStr">
        <is>
          <t>Yes</t>
        </is>
      </c>
      <c r="L60" t="inlineStr">
        <is>
          <t>0</t>
        </is>
      </c>
      <c r="N60" t="inlineStr">
        <is>
          <t>Baltimore, Md. : Lippincott Williams &amp; Wilkins, 2003.</t>
        </is>
      </c>
      <c r="O60" t="inlineStr">
        <is>
          <t>2003</t>
        </is>
      </c>
      <c r="P60" t="inlineStr">
        <is>
          <t>3rd ed.</t>
        </is>
      </c>
      <c r="Q60" t="inlineStr">
        <is>
          <t>eng</t>
        </is>
      </c>
      <c r="R60" t="inlineStr">
        <is>
          <t>mdu</t>
        </is>
      </c>
      <c r="T60" t="inlineStr">
        <is>
          <t xml:space="preserve">W  </t>
        </is>
      </c>
      <c r="U60" t="n">
        <v>13</v>
      </c>
      <c r="V60" t="n">
        <v>13</v>
      </c>
      <c r="W60" t="inlineStr">
        <is>
          <t>2004-04-30</t>
        </is>
      </c>
      <c r="X60" t="inlineStr">
        <is>
          <t>2004-04-30</t>
        </is>
      </c>
      <c r="Y60" t="inlineStr">
        <is>
          <t>2003-06-25</t>
        </is>
      </c>
      <c r="Z60" t="inlineStr">
        <is>
          <t>2003-06-25</t>
        </is>
      </c>
      <c r="AA60" t="n">
        <v>362</v>
      </c>
      <c r="AB60" t="n">
        <v>309</v>
      </c>
      <c r="AC60" t="n">
        <v>671</v>
      </c>
      <c r="AD60" t="n">
        <v>2</v>
      </c>
      <c r="AE60" t="n">
        <v>4</v>
      </c>
      <c r="AF60" t="n">
        <v>9</v>
      </c>
      <c r="AG60" t="n">
        <v>19</v>
      </c>
      <c r="AH60" t="n">
        <v>3</v>
      </c>
      <c r="AI60" t="n">
        <v>6</v>
      </c>
      <c r="AJ60" t="n">
        <v>1</v>
      </c>
      <c r="AK60" t="n">
        <v>3</v>
      </c>
      <c r="AL60" t="n">
        <v>5</v>
      </c>
      <c r="AM60" t="n">
        <v>11</v>
      </c>
      <c r="AN60" t="n">
        <v>1</v>
      </c>
      <c r="AO60" t="n">
        <v>1</v>
      </c>
      <c r="AP60" t="n">
        <v>0</v>
      </c>
      <c r="AQ60" t="n">
        <v>1</v>
      </c>
      <c r="AR60" t="inlineStr">
        <is>
          <t>No</t>
        </is>
      </c>
      <c r="AS60" t="inlineStr">
        <is>
          <t>No</t>
        </is>
      </c>
      <c r="AU60">
        <f>HYPERLINK("https://creighton-primo.hosted.exlibrisgroup.com/primo-explore/search?tab=default_tab&amp;search_scope=EVERYTHING&amp;vid=01CRU&amp;lang=en_US&amp;offset=0&amp;query=any,contains,991000351779702656","Catalog Record")</f>
        <v/>
      </c>
      <c r="AV60">
        <f>HYPERLINK("http://www.worldcat.org/oclc/51258191","WorldCat Record")</f>
        <v/>
      </c>
      <c r="AW60" t="inlineStr">
        <is>
          <t>836900940:eng</t>
        </is>
      </c>
      <c r="AX60" t="inlineStr">
        <is>
          <t>51258191</t>
        </is>
      </c>
      <c r="AY60" t="inlineStr">
        <is>
          <t>991000351779702656</t>
        </is>
      </c>
      <c r="AZ60" t="inlineStr">
        <is>
          <t>991000351779702656</t>
        </is>
      </c>
      <c r="BA60" t="inlineStr">
        <is>
          <t>2268285510002656</t>
        </is>
      </c>
      <c r="BB60" t="inlineStr">
        <is>
          <t>BOOK</t>
        </is>
      </c>
      <c r="BD60" t="inlineStr">
        <is>
          <t>9780781744034</t>
        </is>
      </c>
      <c r="BE60" t="inlineStr">
        <is>
          <t>30001004504868</t>
        </is>
      </c>
      <c r="BF60" t="inlineStr">
        <is>
          <t>893375483</t>
        </is>
      </c>
    </row>
    <row r="61">
      <c r="A61" t="inlineStr">
        <is>
          <t>No</t>
        </is>
      </c>
      <c r="B61" t="inlineStr">
        <is>
          <t>CUHSL</t>
        </is>
      </c>
      <c r="C61" t="inlineStr">
        <is>
          <t>SHELVES</t>
        </is>
      </c>
      <c r="D61" t="inlineStr">
        <is>
          <t>W 13 S812m 1995</t>
        </is>
      </c>
      <c r="E61" t="inlineStr">
        <is>
          <t>0                      W  0013000S  812m        1995</t>
        </is>
      </c>
      <c r="F61" t="inlineStr">
        <is>
          <t>Stedman's medical dictionary</t>
        </is>
      </c>
      <c r="H61" t="inlineStr">
        <is>
          <t>No</t>
        </is>
      </c>
      <c r="I61" t="inlineStr">
        <is>
          <t>1</t>
        </is>
      </c>
      <c r="J61" t="inlineStr">
        <is>
          <t>No</t>
        </is>
      </c>
      <c r="K61" t="inlineStr">
        <is>
          <t>Yes</t>
        </is>
      </c>
      <c r="L61" t="inlineStr">
        <is>
          <t>1</t>
        </is>
      </c>
      <c r="M61" t="inlineStr">
        <is>
          <t>Stedman, Thomas Lathrop, 1853-1938.</t>
        </is>
      </c>
      <c r="N61" t="inlineStr">
        <is>
          <t>Baltimore : Williams &amp; Wilkins, c1995.</t>
        </is>
      </c>
      <c r="O61" t="inlineStr">
        <is>
          <t>1995</t>
        </is>
      </c>
      <c r="P61" t="inlineStr">
        <is>
          <t>26th ed.</t>
        </is>
      </c>
      <c r="Q61" t="inlineStr">
        <is>
          <t>eng</t>
        </is>
      </c>
      <c r="R61" t="inlineStr">
        <is>
          <t>mdu</t>
        </is>
      </c>
      <c r="T61" t="inlineStr">
        <is>
          <t xml:space="preserve">W  </t>
        </is>
      </c>
      <c r="U61" t="n">
        <v>259</v>
      </c>
      <c r="V61" t="n">
        <v>259</v>
      </c>
      <c r="W61" t="inlineStr">
        <is>
          <t>2008-06-01</t>
        </is>
      </c>
      <c r="X61" t="inlineStr">
        <is>
          <t>2008-06-01</t>
        </is>
      </c>
      <c r="Y61" t="inlineStr">
        <is>
          <t>1995-05-11</t>
        </is>
      </c>
      <c r="Z61" t="inlineStr">
        <is>
          <t>1995-05-11</t>
        </is>
      </c>
      <c r="AA61" t="n">
        <v>1013</v>
      </c>
      <c r="AB61" t="n">
        <v>862</v>
      </c>
      <c r="AC61" t="n">
        <v>2937</v>
      </c>
      <c r="AD61" t="n">
        <v>4</v>
      </c>
      <c r="AE61" t="n">
        <v>21</v>
      </c>
      <c r="AF61" t="n">
        <v>27</v>
      </c>
      <c r="AG61" t="n">
        <v>65</v>
      </c>
      <c r="AH61" t="n">
        <v>5</v>
      </c>
      <c r="AI61" t="n">
        <v>21</v>
      </c>
      <c r="AJ61" t="n">
        <v>6</v>
      </c>
      <c r="AK61" t="n">
        <v>8</v>
      </c>
      <c r="AL61" t="n">
        <v>8</v>
      </c>
      <c r="AM61" t="n">
        <v>23</v>
      </c>
      <c r="AN61" t="n">
        <v>2</v>
      </c>
      <c r="AO61" t="n">
        <v>6</v>
      </c>
      <c r="AP61" t="n">
        <v>9</v>
      </c>
      <c r="AQ61" t="n">
        <v>18</v>
      </c>
      <c r="AR61" t="inlineStr">
        <is>
          <t>No</t>
        </is>
      </c>
      <c r="AS61" t="inlineStr">
        <is>
          <t>Yes</t>
        </is>
      </c>
      <c r="AT61">
        <f>HYPERLINK("http://catalog.hathitrust.org/Record/002960803","HathiTrust Record")</f>
        <v/>
      </c>
      <c r="AU61">
        <f>HYPERLINK("https://creighton-primo.hosted.exlibrisgroup.com/primo-explore/search?tab=default_tab&amp;search_scope=EVERYTHING&amp;vid=01CRU&amp;lang=en_US&amp;offset=0&amp;query=any,contains,991001400299702656","Catalog Record")</f>
        <v/>
      </c>
      <c r="AV61">
        <f>HYPERLINK("http://www.worldcat.org/oclc/31241072","WorldCat Record")</f>
        <v/>
      </c>
      <c r="AW61" t="inlineStr">
        <is>
          <t>1863254505:eng</t>
        </is>
      </c>
      <c r="AX61" t="inlineStr">
        <is>
          <t>31241072</t>
        </is>
      </c>
      <c r="AY61" t="inlineStr">
        <is>
          <t>991001400299702656</t>
        </is>
      </c>
      <c r="AZ61" t="inlineStr">
        <is>
          <t>991001400299702656</t>
        </is>
      </c>
      <c r="BA61" t="inlineStr">
        <is>
          <t>2258859770002656</t>
        </is>
      </c>
      <c r="BB61" t="inlineStr">
        <is>
          <t>BOOK</t>
        </is>
      </c>
      <c r="BD61" t="inlineStr">
        <is>
          <t>9780683079227</t>
        </is>
      </c>
      <c r="BE61" t="inlineStr">
        <is>
          <t>30001003147743</t>
        </is>
      </c>
      <c r="BF61" t="inlineStr">
        <is>
          <t>893134521</t>
        </is>
      </c>
    </row>
    <row r="62">
      <c r="A62" t="inlineStr">
        <is>
          <t>No</t>
        </is>
      </c>
      <c r="B62" t="inlineStr">
        <is>
          <t>CUHSL</t>
        </is>
      </c>
      <c r="C62" t="inlineStr">
        <is>
          <t>SHELVES</t>
        </is>
      </c>
      <c r="D62" t="inlineStr">
        <is>
          <t>W13 T113D 2001</t>
        </is>
      </c>
      <c r="E62" t="inlineStr">
        <is>
          <t>0                      W  0013000T  113D        2001</t>
        </is>
      </c>
      <c r="F62" t="inlineStr">
        <is>
          <t>Taber's cyclopedic medical dictionary.</t>
        </is>
      </c>
      <c r="H62" t="inlineStr">
        <is>
          <t>No</t>
        </is>
      </c>
      <c r="I62" t="inlineStr">
        <is>
          <t>1</t>
        </is>
      </c>
      <c r="J62" t="inlineStr">
        <is>
          <t>No</t>
        </is>
      </c>
      <c r="K62" t="inlineStr">
        <is>
          <t>Yes</t>
        </is>
      </c>
      <c r="L62" t="inlineStr">
        <is>
          <t>3</t>
        </is>
      </c>
      <c r="N62" t="inlineStr">
        <is>
          <t>Philadelphia : F.A.Davis Co., c2001.</t>
        </is>
      </c>
      <c r="O62" t="inlineStr">
        <is>
          <t>2001</t>
        </is>
      </c>
      <c r="P62" t="inlineStr">
        <is>
          <t>Ed. 19, illustrated in full color / editor, Donald Venes ; coeditor, Clayton L. Thomas.</t>
        </is>
      </c>
      <c r="Q62" t="inlineStr">
        <is>
          <t>eng</t>
        </is>
      </c>
      <c r="R62" t="inlineStr">
        <is>
          <t>pau</t>
        </is>
      </c>
      <c r="T62" t="inlineStr">
        <is>
          <t xml:space="preserve">W  </t>
        </is>
      </c>
      <c r="U62" t="n">
        <v>63</v>
      </c>
      <c r="V62" t="n">
        <v>63</v>
      </c>
      <c r="W62" t="inlineStr">
        <is>
          <t>2004-07-14</t>
        </is>
      </c>
      <c r="X62" t="inlineStr">
        <is>
          <t>2004-07-14</t>
        </is>
      </c>
      <c r="Y62" t="inlineStr">
        <is>
          <t>2001-12-04</t>
        </is>
      </c>
      <c r="Z62" t="inlineStr">
        <is>
          <t>2001-12-04</t>
        </is>
      </c>
      <c r="AA62" t="n">
        <v>625</v>
      </c>
      <c r="AB62" t="n">
        <v>560</v>
      </c>
      <c r="AC62" t="n">
        <v>3412</v>
      </c>
      <c r="AD62" t="n">
        <v>2</v>
      </c>
      <c r="AE62" t="n">
        <v>36</v>
      </c>
      <c r="AF62" t="n">
        <v>7</v>
      </c>
      <c r="AG62" t="n">
        <v>69</v>
      </c>
      <c r="AH62" t="n">
        <v>4</v>
      </c>
      <c r="AI62" t="n">
        <v>21</v>
      </c>
      <c r="AJ62" t="n">
        <v>2</v>
      </c>
      <c r="AK62" t="n">
        <v>9</v>
      </c>
      <c r="AL62" t="n">
        <v>1</v>
      </c>
      <c r="AM62" t="n">
        <v>19</v>
      </c>
      <c r="AN62" t="n">
        <v>0</v>
      </c>
      <c r="AO62" t="n">
        <v>16</v>
      </c>
      <c r="AP62" t="n">
        <v>0</v>
      </c>
      <c r="AQ62" t="n">
        <v>12</v>
      </c>
      <c r="AR62" t="inlineStr">
        <is>
          <t>No</t>
        </is>
      </c>
      <c r="AS62" t="inlineStr">
        <is>
          <t>No</t>
        </is>
      </c>
      <c r="AU62">
        <f>HYPERLINK("https://creighton-primo.hosted.exlibrisgroup.com/primo-explore/search?tab=default_tab&amp;search_scope=EVERYTHING&amp;vid=01CRU&amp;lang=en_US&amp;offset=0&amp;query=any,contains,991001705729702656","Catalog Record")</f>
        <v/>
      </c>
      <c r="AV62">
        <f>HYPERLINK("http://www.worldcat.org/oclc/44969810","WorldCat Record")</f>
        <v/>
      </c>
      <c r="AW62" t="inlineStr">
        <is>
          <t>1075330627:eng</t>
        </is>
      </c>
      <c r="AX62" t="inlineStr">
        <is>
          <t>44969810</t>
        </is>
      </c>
      <c r="AY62" t="inlineStr">
        <is>
          <t>991001705729702656</t>
        </is>
      </c>
      <c r="AZ62" t="inlineStr">
        <is>
          <t>991001705729702656</t>
        </is>
      </c>
      <c r="BA62" t="inlineStr">
        <is>
          <t>2265600370002656</t>
        </is>
      </c>
      <c r="BB62" t="inlineStr">
        <is>
          <t>BOOK</t>
        </is>
      </c>
      <c r="BD62" t="inlineStr">
        <is>
          <t>9780803606548</t>
        </is>
      </c>
      <c r="BE62" t="inlineStr">
        <is>
          <t>30001004560613</t>
        </is>
      </c>
      <c r="BF62" t="inlineStr">
        <is>
          <t>893834745</t>
        </is>
      </c>
    </row>
    <row r="63">
      <c r="A63" t="inlineStr">
        <is>
          <t>No</t>
        </is>
      </c>
      <c r="B63" t="inlineStr">
        <is>
          <t>CUHSL</t>
        </is>
      </c>
      <c r="C63" t="inlineStr">
        <is>
          <t>SHELVES</t>
        </is>
      </c>
      <c r="D63" t="inlineStr">
        <is>
          <t>W 13 T133d 1997</t>
        </is>
      </c>
      <c r="E63" t="inlineStr">
        <is>
          <t>0                      W  0013000T  133d        1997</t>
        </is>
      </c>
      <c r="F63" t="inlineStr">
        <is>
          <t>Taber's cyclopedic medical dictionary / edited by Clayton L. Thomas.</t>
        </is>
      </c>
      <c r="H63" t="inlineStr">
        <is>
          <t>No</t>
        </is>
      </c>
      <c r="I63" t="inlineStr">
        <is>
          <t>1</t>
        </is>
      </c>
      <c r="J63" t="inlineStr">
        <is>
          <t>Yes</t>
        </is>
      </c>
      <c r="K63" t="inlineStr">
        <is>
          <t>Yes</t>
        </is>
      </c>
      <c r="L63" t="inlineStr">
        <is>
          <t>3</t>
        </is>
      </c>
      <c r="N63" t="inlineStr">
        <is>
          <t>Philadelphia : F.A. Davis, c1997.</t>
        </is>
      </c>
      <c r="O63" t="inlineStr">
        <is>
          <t>1997</t>
        </is>
      </c>
      <c r="P63" t="inlineStr">
        <is>
          <t>Ed. 18 illustrated in full color.</t>
        </is>
      </c>
      <c r="Q63" t="inlineStr">
        <is>
          <t>eng</t>
        </is>
      </c>
      <c r="R63" t="inlineStr">
        <is>
          <t>pau</t>
        </is>
      </c>
      <c r="T63" t="inlineStr">
        <is>
          <t xml:space="preserve">W  </t>
        </is>
      </c>
      <c r="U63" t="n">
        <v>25</v>
      </c>
      <c r="V63" t="n">
        <v>183</v>
      </c>
      <c r="W63" t="inlineStr">
        <is>
          <t>2004-10-13</t>
        </is>
      </c>
      <c r="X63" t="inlineStr">
        <is>
          <t>2008-03-17</t>
        </is>
      </c>
      <c r="Y63" t="inlineStr">
        <is>
          <t>1997-04-07</t>
        </is>
      </c>
      <c r="Z63" t="inlineStr">
        <is>
          <t>1997-04-07</t>
        </is>
      </c>
      <c r="AA63" t="n">
        <v>552</v>
      </c>
      <c r="AB63" t="n">
        <v>488</v>
      </c>
      <c r="AC63" t="n">
        <v>3412</v>
      </c>
      <c r="AD63" t="n">
        <v>2</v>
      </c>
      <c r="AE63" t="n">
        <v>36</v>
      </c>
      <c r="AF63" t="n">
        <v>9</v>
      </c>
      <c r="AG63" t="n">
        <v>69</v>
      </c>
      <c r="AH63" t="n">
        <v>2</v>
      </c>
      <c r="AI63" t="n">
        <v>21</v>
      </c>
      <c r="AJ63" t="n">
        <v>2</v>
      </c>
      <c r="AK63" t="n">
        <v>9</v>
      </c>
      <c r="AL63" t="n">
        <v>2</v>
      </c>
      <c r="AM63" t="n">
        <v>19</v>
      </c>
      <c r="AN63" t="n">
        <v>0</v>
      </c>
      <c r="AO63" t="n">
        <v>16</v>
      </c>
      <c r="AP63" t="n">
        <v>3</v>
      </c>
      <c r="AQ63" t="n">
        <v>12</v>
      </c>
      <c r="AR63" t="inlineStr">
        <is>
          <t>No</t>
        </is>
      </c>
      <c r="AS63" t="inlineStr">
        <is>
          <t>Yes</t>
        </is>
      </c>
      <c r="AT63">
        <f>HYPERLINK("http://catalog.hathitrust.org/Record/009666481","HathiTrust Record")</f>
        <v/>
      </c>
      <c r="AU63">
        <f>HYPERLINK("https://creighton-primo.hosted.exlibrisgroup.com/primo-explore/search?tab=default_tab&amp;search_scope=EVERYTHING&amp;vid=01CRU&amp;lang=en_US&amp;offset=0&amp;query=any,contains,991000837529702656","Catalog Record")</f>
        <v/>
      </c>
      <c r="AV63">
        <f>HYPERLINK("http://www.worldcat.org/oclc/36768415","WorldCat Record")</f>
        <v/>
      </c>
      <c r="AW63" t="inlineStr">
        <is>
          <t>1075330627:eng</t>
        </is>
      </c>
      <c r="AX63" t="inlineStr">
        <is>
          <t>36768415</t>
        </is>
      </c>
      <c r="AY63" t="inlineStr">
        <is>
          <t>991000837529702656</t>
        </is>
      </c>
      <c r="AZ63" t="inlineStr">
        <is>
          <t>991000837529702656</t>
        </is>
      </c>
      <c r="BA63" t="inlineStr">
        <is>
          <t>2268846930002656</t>
        </is>
      </c>
      <c r="BB63" t="inlineStr">
        <is>
          <t>BOOK</t>
        </is>
      </c>
      <c r="BD63" t="inlineStr">
        <is>
          <t>9780803601949</t>
        </is>
      </c>
      <c r="BE63" t="inlineStr">
        <is>
          <t>30001003443464</t>
        </is>
      </c>
      <c r="BF63" t="inlineStr">
        <is>
          <t>893467673</t>
        </is>
      </c>
    </row>
    <row r="64">
      <c r="A64" t="inlineStr">
        <is>
          <t>No</t>
        </is>
      </c>
      <c r="B64" t="inlineStr">
        <is>
          <t>CUHSL</t>
        </is>
      </c>
      <c r="C64" t="inlineStr">
        <is>
          <t>SHELVES</t>
        </is>
      </c>
      <c r="D64" t="inlineStr">
        <is>
          <t>W 13 T133d 1997</t>
        </is>
      </c>
      <c r="E64" t="inlineStr">
        <is>
          <t>0                      W  0013000T  133d        1997</t>
        </is>
      </c>
      <c r="F64" t="inlineStr">
        <is>
          <t>Taber's cyclopedic medical dictionary / edited by Clayton L. Thomas.</t>
        </is>
      </c>
      <c r="H64" t="inlineStr">
        <is>
          <t>No</t>
        </is>
      </c>
      <c r="I64" t="inlineStr">
        <is>
          <t>2</t>
        </is>
      </c>
      <c r="J64" t="inlineStr">
        <is>
          <t>Yes</t>
        </is>
      </c>
      <c r="K64" t="inlineStr">
        <is>
          <t>Yes</t>
        </is>
      </c>
      <c r="L64" t="inlineStr">
        <is>
          <t>3</t>
        </is>
      </c>
      <c r="N64" t="inlineStr">
        <is>
          <t>Philadelphia : F.A. Davis, c1997.</t>
        </is>
      </c>
      <c r="O64" t="inlineStr">
        <is>
          <t>1997</t>
        </is>
      </c>
      <c r="P64" t="inlineStr">
        <is>
          <t>Ed. 18 illustrated in full color.</t>
        </is>
      </c>
      <c r="Q64" t="inlineStr">
        <is>
          <t>eng</t>
        </is>
      </c>
      <c r="R64" t="inlineStr">
        <is>
          <t>pau</t>
        </is>
      </c>
      <c r="T64" t="inlineStr">
        <is>
          <t xml:space="preserve">W  </t>
        </is>
      </c>
      <c r="U64" t="n">
        <v>158</v>
      </c>
      <c r="V64" t="n">
        <v>183</v>
      </c>
      <c r="W64" t="inlineStr">
        <is>
          <t>2008-03-17</t>
        </is>
      </c>
      <c r="X64" t="inlineStr">
        <is>
          <t>2008-03-17</t>
        </is>
      </c>
      <c r="Y64" t="inlineStr">
        <is>
          <t>1997-03-11</t>
        </is>
      </c>
      <c r="Z64" t="inlineStr">
        <is>
          <t>1997-04-07</t>
        </is>
      </c>
      <c r="AA64" t="n">
        <v>552</v>
      </c>
      <c r="AB64" t="n">
        <v>488</v>
      </c>
      <c r="AC64" t="n">
        <v>3412</v>
      </c>
      <c r="AD64" t="n">
        <v>2</v>
      </c>
      <c r="AE64" t="n">
        <v>36</v>
      </c>
      <c r="AF64" t="n">
        <v>9</v>
      </c>
      <c r="AG64" t="n">
        <v>69</v>
      </c>
      <c r="AH64" t="n">
        <v>2</v>
      </c>
      <c r="AI64" t="n">
        <v>21</v>
      </c>
      <c r="AJ64" t="n">
        <v>2</v>
      </c>
      <c r="AK64" t="n">
        <v>9</v>
      </c>
      <c r="AL64" t="n">
        <v>2</v>
      </c>
      <c r="AM64" t="n">
        <v>19</v>
      </c>
      <c r="AN64" t="n">
        <v>0</v>
      </c>
      <c r="AO64" t="n">
        <v>16</v>
      </c>
      <c r="AP64" t="n">
        <v>3</v>
      </c>
      <c r="AQ64" t="n">
        <v>12</v>
      </c>
      <c r="AR64" t="inlineStr">
        <is>
          <t>No</t>
        </is>
      </c>
      <c r="AS64" t="inlineStr">
        <is>
          <t>Yes</t>
        </is>
      </c>
      <c r="AT64">
        <f>HYPERLINK("http://catalog.hathitrust.org/Record/009666481","HathiTrust Record")</f>
        <v/>
      </c>
      <c r="AU64">
        <f>HYPERLINK("https://creighton-primo.hosted.exlibrisgroup.com/primo-explore/search?tab=default_tab&amp;search_scope=EVERYTHING&amp;vid=01CRU&amp;lang=en_US&amp;offset=0&amp;query=any,contains,991000837529702656","Catalog Record")</f>
        <v/>
      </c>
      <c r="AV64">
        <f>HYPERLINK("http://www.worldcat.org/oclc/36768415","WorldCat Record")</f>
        <v/>
      </c>
      <c r="AW64" t="inlineStr">
        <is>
          <t>1075330627:eng</t>
        </is>
      </c>
      <c r="AX64" t="inlineStr">
        <is>
          <t>36768415</t>
        </is>
      </c>
      <c r="AY64" t="inlineStr">
        <is>
          <t>991000837529702656</t>
        </is>
      </c>
      <c r="AZ64" t="inlineStr">
        <is>
          <t>991000837529702656</t>
        </is>
      </c>
      <c r="BA64" t="inlineStr">
        <is>
          <t>2268846930002656</t>
        </is>
      </c>
      <c r="BB64" t="inlineStr">
        <is>
          <t>BOOK</t>
        </is>
      </c>
      <c r="BD64" t="inlineStr">
        <is>
          <t>9780803601949</t>
        </is>
      </c>
      <c r="BE64" t="inlineStr">
        <is>
          <t>30001003442482</t>
        </is>
      </c>
      <c r="BF64" t="inlineStr">
        <is>
          <t>893467674</t>
        </is>
      </c>
    </row>
    <row r="65">
      <c r="A65" t="inlineStr">
        <is>
          <t>No</t>
        </is>
      </c>
      <c r="B65" t="inlineStr">
        <is>
          <t>CUHSL</t>
        </is>
      </c>
      <c r="C65" t="inlineStr">
        <is>
          <t>SHELVES</t>
        </is>
      </c>
      <c r="D65" t="inlineStr">
        <is>
          <t>W 15 B713m 1991</t>
        </is>
      </c>
      <c r="E65" t="inlineStr">
        <is>
          <t>0                      W  0015000B  713m        1991</t>
        </is>
      </c>
      <c r="F65" t="inlineStr">
        <is>
          <t>Medical Spanish / Gail L. Bongiovanni, revised with the assistance of Ariel Dan Teitel.</t>
        </is>
      </c>
      <c r="H65" t="inlineStr">
        <is>
          <t>No</t>
        </is>
      </c>
      <c r="I65" t="inlineStr">
        <is>
          <t>1</t>
        </is>
      </c>
      <c r="J65" t="inlineStr">
        <is>
          <t>No</t>
        </is>
      </c>
      <c r="K65" t="inlineStr">
        <is>
          <t>Yes</t>
        </is>
      </c>
      <c r="L65" t="inlineStr">
        <is>
          <t>0</t>
        </is>
      </c>
      <c r="M65" t="inlineStr">
        <is>
          <t>Bongiovanni, Gail.</t>
        </is>
      </c>
      <c r="N65" t="inlineStr">
        <is>
          <t>New York : McGraw-Hill, Health Professions Division, c1991.</t>
        </is>
      </c>
      <c r="O65" t="inlineStr">
        <is>
          <t>1991</t>
        </is>
      </c>
      <c r="P65" t="inlineStr">
        <is>
          <t>2nd ed.</t>
        </is>
      </c>
      <c r="Q65" t="inlineStr">
        <is>
          <t>eng</t>
        </is>
      </c>
      <c r="R65" t="inlineStr">
        <is>
          <t>nyu</t>
        </is>
      </c>
      <c r="T65" t="inlineStr">
        <is>
          <t xml:space="preserve">W  </t>
        </is>
      </c>
      <c r="U65" t="n">
        <v>20</v>
      </c>
      <c r="V65" t="n">
        <v>20</v>
      </c>
      <c r="W65" t="inlineStr">
        <is>
          <t>2008-12-22</t>
        </is>
      </c>
      <c r="X65" t="inlineStr">
        <is>
          <t>2008-12-22</t>
        </is>
      </c>
      <c r="Y65" t="inlineStr">
        <is>
          <t>1991-11-12</t>
        </is>
      </c>
      <c r="Z65" t="inlineStr">
        <is>
          <t>1991-11-12</t>
        </is>
      </c>
      <c r="AA65" t="n">
        <v>177</v>
      </c>
      <c r="AB65" t="n">
        <v>172</v>
      </c>
      <c r="AC65" t="n">
        <v>648</v>
      </c>
      <c r="AD65" t="n">
        <v>2</v>
      </c>
      <c r="AE65" t="n">
        <v>6</v>
      </c>
      <c r="AF65" t="n">
        <v>3</v>
      </c>
      <c r="AG65" t="n">
        <v>15</v>
      </c>
      <c r="AH65" t="n">
        <v>3</v>
      </c>
      <c r="AI65" t="n">
        <v>6</v>
      </c>
      <c r="AJ65" t="n">
        <v>0</v>
      </c>
      <c r="AK65" t="n">
        <v>7</v>
      </c>
      <c r="AL65" t="n">
        <v>0</v>
      </c>
      <c r="AM65" t="n">
        <v>2</v>
      </c>
      <c r="AN65" t="n">
        <v>0</v>
      </c>
      <c r="AO65" t="n">
        <v>2</v>
      </c>
      <c r="AP65" t="n">
        <v>0</v>
      </c>
      <c r="AQ65" t="n">
        <v>0</v>
      </c>
      <c r="AR65" t="inlineStr">
        <is>
          <t>No</t>
        </is>
      </c>
      <c r="AS65" t="inlineStr">
        <is>
          <t>Yes</t>
        </is>
      </c>
      <c r="AT65">
        <f>HYPERLINK("http://catalog.hathitrust.org/Record/002570081","HathiTrust Record")</f>
        <v/>
      </c>
      <c r="AU65">
        <f>HYPERLINK("https://creighton-primo.hosted.exlibrisgroup.com/primo-explore/search?tab=default_tab&amp;search_scope=EVERYTHING&amp;vid=01CRU&amp;lang=en_US&amp;offset=0&amp;query=any,contains,991001021199702656","Catalog Record")</f>
        <v/>
      </c>
      <c r="AV65">
        <f>HYPERLINK("http://www.worldcat.org/oclc/23648683","WorldCat Record")</f>
        <v/>
      </c>
      <c r="AW65" t="inlineStr">
        <is>
          <t>103246:eng</t>
        </is>
      </c>
      <c r="AX65" t="inlineStr">
        <is>
          <t>23648683</t>
        </is>
      </c>
      <c r="AY65" t="inlineStr">
        <is>
          <t>991001021199702656</t>
        </is>
      </c>
      <c r="AZ65" t="inlineStr">
        <is>
          <t>991001021199702656</t>
        </is>
      </c>
      <c r="BA65" t="inlineStr">
        <is>
          <t>2260302590002656</t>
        </is>
      </c>
      <c r="BB65" t="inlineStr">
        <is>
          <t>BOOK</t>
        </is>
      </c>
      <c r="BD65" t="inlineStr">
        <is>
          <t>9780070064898</t>
        </is>
      </c>
      <c r="BE65" t="inlineStr">
        <is>
          <t>30001002241760</t>
        </is>
      </c>
      <c r="BF65" t="inlineStr">
        <is>
          <t>893632666</t>
        </is>
      </c>
    </row>
    <row r="66">
      <c r="A66" t="inlineStr">
        <is>
          <t>No</t>
        </is>
      </c>
      <c r="B66" t="inlineStr">
        <is>
          <t>CUHSL</t>
        </is>
      </c>
      <c r="C66" t="inlineStr">
        <is>
          <t>SHELVES</t>
        </is>
      </c>
      <c r="D66" t="inlineStr">
        <is>
          <t>W 15 B713m 2000</t>
        </is>
      </c>
      <c r="E66" t="inlineStr">
        <is>
          <t>0                      W  0015000B  713m        2000</t>
        </is>
      </c>
      <c r="F66" t="inlineStr">
        <is>
          <t>Medical Spanish / Gail L. Bongiovanni.</t>
        </is>
      </c>
      <c r="H66" t="inlineStr">
        <is>
          <t>No</t>
        </is>
      </c>
      <c r="I66" t="inlineStr">
        <is>
          <t>1</t>
        </is>
      </c>
      <c r="J66" t="inlineStr">
        <is>
          <t>No</t>
        </is>
      </c>
      <c r="K66" t="inlineStr">
        <is>
          <t>Yes</t>
        </is>
      </c>
      <c r="L66" t="inlineStr">
        <is>
          <t>0</t>
        </is>
      </c>
      <c r="M66" t="inlineStr">
        <is>
          <t>Bongiovanni, Gail.</t>
        </is>
      </c>
      <c r="N66" t="inlineStr">
        <is>
          <t>New York : McGraw-Hill, Health Professions Division, c2000.</t>
        </is>
      </c>
      <c r="O66" t="inlineStr">
        <is>
          <t>2000</t>
        </is>
      </c>
      <c r="P66" t="inlineStr">
        <is>
          <t>3rd ed.</t>
        </is>
      </c>
      <c r="Q66" t="inlineStr">
        <is>
          <t>eng</t>
        </is>
      </c>
      <c r="R66" t="inlineStr">
        <is>
          <t>nyu</t>
        </is>
      </c>
      <c r="T66" t="inlineStr">
        <is>
          <t xml:space="preserve">W  </t>
        </is>
      </c>
      <c r="U66" t="n">
        <v>5</v>
      </c>
      <c r="V66" t="n">
        <v>5</v>
      </c>
      <c r="W66" t="inlineStr">
        <is>
          <t>2002-06-25</t>
        </is>
      </c>
      <c r="X66" t="inlineStr">
        <is>
          <t>2002-06-25</t>
        </is>
      </c>
      <c r="Y66" t="inlineStr">
        <is>
          <t>2002-06-10</t>
        </is>
      </c>
      <c r="Z66" t="inlineStr">
        <is>
          <t>2002-06-10</t>
        </is>
      </c>
      <c r="AA66" t="n">
        <v>197</v>
      </c>
      <c r="AB66" t="n">
        <v>182</v>
      </c>
      <c r="AC66" t="n">
        <v>648</v>
      </c>
      <c r="AD66" t="n">
        <v>1</v>
      </c>
      <c r="AE66" t="n">
        <v>6</v>
      </c>
      <c r="AF66" t="n">
        <v>3</v>
      </c>
      <c r="AG66" t="n">
        <v>15</v>
      </c>
      <c r="AH66" t="n">
        <v>1</v>
      </c>
      <c r="AI66" t="n">
        <v>6</v>
      </c>
      <c r="AJ66" t="n">
        <v>2</v>
      </c>
      <c r="AK66" t="n">
        <v>7</v>
      </c>
      <c r="AL66" t="n">
        <v>1</v>
      </c>
      <c r="AM66" t="n">
        <v>2</v>
      </c>
      <c r="AN66" t="n">
        <v>0</v>
      </c>
      <c r="AO66" t="n">
        <v>2</v>
      </c>
      <c r="AP66" t="n">
        <v>0</v>
      </c>
      <c r="AQ66" t="n">
        <v>0</v>
      </c>
      <c r="AR66" t="inlineStr">
        <is>
          <t>No</t>
        </is>
      </c>
      <c r="AS66" t="inlineStr">
        <is>
          <t>No</t>
        </is>
      </c>
      <c r="AU66">
        <f>HYPERLINK("https://creighton-primo.hosted.exlibrisgroup.com/primo-explore/search?tab=default_tab&amp;search_scope=EVERYTHING&amp;vid=01CRU&amp;lang=en_US&amp;offset=0&amp;query=any,contains,991001714029702656","Catalog Record")</f>
        <v/>
      </c>
      <c r="AV66">
        <f>HYPERLINK("http://www.worldcat.org/oclc/42682804","WorldCat Record")</f>
        <v/>
      </c>
      <c r="AW66" t="inlineStr">
        <is>
          <t>103246:eng</t>
        </is>
      </c>
      <c r="AX66" t="inlineStr">
        <is>
          <t>42682804</t>
        </is>
      </c>
      <c r="AY66" t="inlineStr">
        <is>
          <t>991001714029702656</t>
        </is>
      </c>
      <c r="AZ66" t="inlineStr">
        <is>
          <t>991001714029702656</t>
        </is>
      </c>
      <c r="BA66" t="inlineStr">
        <is>
          <t>2260744900002656</t>
        </is>
      </c>
      <c r="BB66" t="inlineStr">
        <is>
          <t>BOOK</t>
        </is>
      </c>
      <c r="BD66" t="inlineStr">
        <is>
          <t>9780071345507</t>
        </is>
      </c>
      <c r="BE66" t="inlineStr">
        <is>
          <t>30001004406759</t>
        </is>
      </c>
      <c r="BF66" t="inlineStr">
        <is>
          <t>893821410</t>
        </is>
      </c>
    </row>
    <row r="67">
      <c r="A67" t="inlineStr">
        <is>
          <t>No</t>
        </is>
      </c>
      <c r="B67" t="inlineStr">
        <is>
          <t>CUHSL</t>
        </is>
      </c>
      <c r="C67" t="inlineStr">
        <is>
          <t>SHELVES</t>
        </is>
      </c>
      <c r="D67" t="inlineStr">
        <is>
          <t>W 15 B812 1969</t>
        </is>
      </c>
      <c r="E67" t="inlineStr">
        <is>
          <t>0                      W  0015000B  812         1969</t>
        </is>
      </c>
      <c r="F67" t="inlineStr">
        <is>
          <t>Brady's programmed orientation to medical terminology.</t>
        </is>
      </c>
      <c r="H67" t="inlineStr">
        <is>
          <t>No</t>
        </is>
      </c>
      <c r="I67" t="inlineStr">
        <is>
          <t>1</t>
        </is>
      </c>
      <c r="J67" t="inlineStr">
        <is>
          <t>No</t>
        </is>
      </c>
      <c r="K67" t="inlineStr">
        <is>
          <t>No</t>
        </is>
      </c>
      <c r="L67" t="inlineStr">
        <is>
          <t>0</t>
        </is>
      </c>
      <c r="M67" t="inlineStr">
        <is>
          <t>Robert J. Brady Company.</t>
        </is>
      </c>
      <c r="N67" t="inlineStr">
        <is>
          <t>Philadelphia : Lippincott, c1970.</t>
        </is>
      </c>
      <c r="O67" t="inlineStr">
        <is>
          <t>1970</t>
        </is>
      </c>
      <c r="Q67" t="inlineStr">
        <is>
          <t>eng</t>
        </is>
      </c>
      <c r="R67" t="inlineStr">
        <is>
          <t>pau</t>
        </is>
      </c>
      <c r="T67" t="inlineStr">
        <is>
          <t xml:space="preserve">W  </t>
        </is>
      </c>
      <c r="U67" t="n">
        <v>6</v>
      </c>
      <c r="V67" t="n">
        <v>6</v>
      </c>
      <c r="W67" t="inlineStr">
        <is>
          <t>1997-02-08</t>
        </is>
      </c>
      <c r="X67" t="inlineStr">
        <is>
          <t>1997-02-08</t>
        </is>
      </c>
      <c r="Y67" t="inlineStr">
        <is>
          <t>1988-03-27</t>
        </is>
      </c>
      <c r="Z67" t="inlineStr">
        <is>
          <t>1988-03-27</t>
        </is>
      </c>
      <c r="AA67" t="n">
        <v>55</v>
      </c>
      <c r="AB67" t="n">
        <v>50</v>
      </c>
      <c r="AC67" t="n">
        <v>111</v>
      </c>
      <c r="AD67" t="n">
        <v>1</v>
      </c>
      <c r="AE67" t="n">
        <v>2</v>
      </c>
      <c r="AF67" t="n">
        <v>0</v>
      </c>
      <c r="AG67" t="n">
        <v>2</v>
      </c>
      <c r="AH67" t="n">
        <v>0</v>
      </c>
      <c r="AI67" t="n">
        <v>0</v>
      </c>
      <c r="AJ67" t="n">
        <v>0</v>
      </c>
      <c r="AK67" t="n">
        <v>0</v>
      </c>
      <c r="AL67" t="n">
        <v>0</v>
      </c>
      <c r="AM67" t="n">
        <v>1</v>
      </c>
      <c r="AN67" t="n">
        <v>0</v>
      </c>
      <c r="AO67" t="n">
        <v>1</v>
      </c>
      <c r="AP67" t="n">
        <v>0</v>
      </c>
      <c r="AQ67" t="n">
        <v>0</v>
      </c>
      <c r="AR67" t="inlineStr">
        <is>
          <t>No</t>
        </is>
      </c>
      <c r="AS67" t="inlineStr">
        <is>
          <t>Yes</t>
        </is>
      </c>
      <c r="AT67">
        <f>HYPERLINK("http://catalog.hathitrust.org/Record/008162921","HathiTrust Record")</f>
        <v/>
      </c>
      <c r="AU67">
        <f>HYPERLINK("https://creighton-primo.hosted.exlibrisgroup.com/primo-explore/search?tab=default_tab&amp;search_scope=EVERYTHING&amp;vid=01CRU&amp;lang=en_US&amp;offset=0&amp;query=any,contains,991000988619702656","Catalog Record")</f>
        <v/>
      </c>
      <c r="AV67">
        <f>HYPERLINK("http://www.worldcat.org/oclc/6127207","WorldCat Record")</f>
        <v/>
      </c>
      <c r="AW67" t="inlineStr">
        <is>
          <t>1621665:eng</t>
        </is>
      </c>
      <c r="AX67" t="inlineStr">
        <is>
          <t>6127207</t>
        </is>
      </c>
      <c r="AY67" t="inlineStr">
        <is>
          <t>991000988619702656</t>
        </is>
      </c>
      <c r="AZ67" t="inlineStr">
        <is>
          <t>991000988619702656</t>
        </is>
      </c>
      <c r="BA67" t="inlineStr">
        <is>
          <t>2257779340002656</t>
        </is>
      </c>
      <c r="BB67" t="inlineStr">
        <is>
          <t>BOOK</t>
        </is>
      </c>
      <c r="BE67" t="inlineStr">
        <is>
          <t>30001000219826</t>
        </is>
      </c>
      <c r="BF67" t="inlineStr">
        <is>
          <t>893826319</t>
        </is>
      </c>
    </row>
    <row r="68">
      <c r="A68" t="inlineStr">
        <is>
          <t>No</t>
        </is>
      </c>
      <c r="B68" t="inlineStr">
        <is>
          <t>CUHSL</t>
        </is>
      </c>
      <c r="C68" t="inlineStr">
        <is>
          <t>SHELVES</t>
        </is>
      </c>
      <c r="D68" t="inlineStr">
        <is>
          <t>W 15 C147f 1978</t>
        </is>
      </c>
      <c r="E68" t="inlineStr">
        <is>
          <t>0                      W  0015000C  147f        1978</t>
        </is>
      </c>
      <c r="F68" t="inlineStr">
        <is>
          <t>Foundation for medical communication / Esther Caldwell, Barbara R. Hegner.</t>
        </is>
      </c>
      <c r="H68" t="inlineStr">
        <is>
          <t>No</t>
        </is>
      </c>
      <c r="I68" t="inlineStr">
        <is>
          <t>1</t>
        </is>
      </c>
      <c r="J68" t="inlineStr">
        <is>
          <t>No</t>
        </is>
      </c>
      <c r="K68" t="inlineStr">
        <is>
          <t>No</t>
        </is>
      </c>
      <c r="L68" t="inlineStr">
        <is>
          <t>0</t>
        </is>
      </c>
      <c r="M68" t="inlineStr">
        <is>
          <t>Caldwell, Esther.</t>
        </is>
      </c>
      <c r="N68" t="inlineStr">
        <is>
          <t>Reston, Va. : Reston Pub. Co., c1978.</t>
        </is>
      </c>
      <c r="O68" t="inlineStr">
        <is>
          <t>1978</t>
        </is>
      </c>
      <c r="Q68" t="inlineStr">
        <is>
          <t>eng</t>
        </is>
      </c>
      <c r="R68" t="inlineStr">
        <is>
          <t>vau</t>
        </is>
      </c>
      <c r="T68" t="inlineStr">
        <is>
          <t xml:space="preserve">W  </t>
        </is>
      </c>
      <c r="U68" t="n">
        <v>3</v>
      </c>
      <c r="V68" t="n">
        <v>3</v>
      </c>
      <c r="W68" t="inlineStr">
        <is>
          <t>2004-07-19</t>
        </is>
      </c>
      <c r="X68" t="inlineStr">
        <is>
          <t>2004-07-19</t>
        </is>
      </c>
      <c r="Y68" t="inlineStr">
        <is>
          <t>1987-12-30</t>
        </is>
      </c>
      <c r="Z68" t="inlineStr">
        <is>
          <t>1987-12-30</t>
        </is>
      </c>
      <c r="AA68" t="n">
        <v>129</v>
      </c>
      <c r="AB68" t="n">
        <v>110</v>
      </c>
      <c r="AC68" t="n">
        <v>117</v>
      </c>
      <c r="AD68" t="n">
        <v>2</v>
      </c>
      <c r="AE68" t="n">
        <v>2</v>
      </c>
      <c r="AF68" t="n">
        <v>4</v>
      </c>
      <c r="AG68" t="n">
        <v>4</v>
      </c>
      <c r="AH68" t="n">
        <v>1</v>
      </c>
      <c r="AI68" t="n">
        <v>1</v>
      </c>
      <c r="AJ68" t="n">
        <v>1</v>
      </c>
      <c r="AK68" t="n">
        <v>1</v>
      </c>
      <c r="AL68" t="n">
        <v>2</v>
      </c>
      <c r="AM68" t="n">
        <v>2</v>
      </c>
      <c r="AN68" t="n">
        <v>1</v>
      </c>
      <c r="AO68" t="n">
        <v>1</v>
      </c>
      <c r="AP68" t="n">
        <v>0</v>
      </c>
      <c r="AQ68" t="n">
        <v>0</v>
      </c>
      <c r="AR68" t="inlineStr">
        <is>
          <t>No</t>
        </is>
      </c>
      <c r="AS68" t="inlineStr">
        <is>
          <t>Yes</t>
        </is>
      </c>
      <c r="AT68">
        <f>HYPERLINK("http://catalog.hathitrust.org/Record/004483592","HathiTrust Record")</f>
        <v/>
      </c>
      <c r="AU68">
        <f>HYPERLINK("https://creighton-primo.hosted.exlibrisgroup.com/primo-explore/search?tab=default_tab&amp;search_scope=EVERYTHING&amp;vid=01CRU&amp;lang=en_US&amp;offset=0&amp;query=any,contains,991000988669702656","Catalog Record")</f>
        <v/>
      </c>
      <c r="AV68">
        <f>HYPERLINK("http://www.worldcat.org/oclc/3447520","WorldCat Record")</f>
        <v/>
      </c>
      <c r="AW68" t="inlineStr">
        <is>
          <t>10841515:eng</t>
        </is>
      </c>
      <c r="AX68" t="inlineStr">
        <is>
          <t>3447520</t>
        </is>
      </c>
      <c r="AY68" t="inlineStr">
        <is>
          <t>991000988669702656</t>
        </is>
      </c>
      <c r="AZ68" t="inlineStr">
        <is>
          <t>991000988669702656</t>
        </is>
      </c>
      <c r="BA68" t="inlineStr">
        <is>
          <t>2268723080002656</t>
        </is>
      </c>
      <c r="BB68" t="inlineStr">
        <is>
          <t>BOOK</t>
        </is>
      </c>
      <c r="BD68" t="inlineStr">
        <is>
          <t>9780879092993</t>
        </is>
      </c>
      <c r="BE68" t="inlineStr">
        <is>
          <t>30001000219842</t>
        </is>
      </c>
      <c r="BF68" t="inlineStr">
        <is>
          <t>893161601</t>
        </is>
      </c>
    </row>
    <row r="69">
      <c r="A69" t="inlineStr">
        <is>
          <t>No</t>
        </is>
      </c>
      <c r="B69" t="inlineStr">
        <is>
          <t>CUHSL</t>
        </is>
      </c>
      <c r="C69" t="inlineStr">
        <is>
          <t>SHELVES</t>
        </is>
      </c>
      <c r="D69" t="inlineStr">
        <is>
          <t>W 15 C427L 1985</t>
        </is>
      </c>
      <c r="E69" t="inlineStr">
        <is>
          <t>0                      W  0015000C  427L        1985</t>
        </is>
      </c>
      <c r="F69" t="inlineStr">
        <is>
          <t>The language of medicine : a write-in text explaining medical terms / Davi-Ellen Chabner.</t>
        </is>
      </c>
      <c r="H69" t="inlineStr">
        <is>
          <t>No</t>
        </is>
      </c>
      <c r="I69" t="inlineStr">
        <is>
          <t>1</t>
        </is>
      </c>
      <c r="J69" t="inlineStr">
        <is>
          <t>No</t>
        </is>
      </c>
      <c r="K69" t="inlineStr">
        <is>
          <t>No</t>
        </is>
      </c>
      <c r="L69" t="inlineStr">
        <is>
          <t>0</t>
        </is>
      </c>
      <c r="M69" t="inlineStr">
        <is>
          <t>Chabner, Davi-Ellen.</t>
        </is>
      </c>
      <c r="N69" t="inlineStr">
        <is>
          <t>Philadelphia : Saunders, c1985.</t>
        </is>
      </c>
      <c r="O69" t="inlineStr">
        <is>
          <t>1985</t>
        </is>
      </c>
      <c r="P69" t="inlineStr">
        <is>
          <t>3rd ed.</t>
        </is>
      </c>
      <c r="Q69" t="inlineStr">
        <is>
          <t>eng</t>
        </is>
      </c>
      <c r="R69" t="inlineStr">
        <is>
          <t>xxu</t>
        </is>
      </c>
      <c r="T69" t="inlineStr">
        <is>
          <t xml:space="preserve">W  </t>
        </is>
      </c>
      <c r="U69" t="n">
        <v>14</v>
      </c>
      <c r="V69" t="n">
        <v>14</v>
      </c>
      <c r="W69" t="inlineStr">
        <is>
          <t>2004-08-11</t>
        </is>
      </c>
      <c r="X69" t="inlineStr">
        <is>
          <t>2004-08-11</t>
        </is>
      </c>
      <c r="Y69" t="inlineStr">
        <is>
          <t>1987-12-30</t>
        </is>
      </c>
      <c r="Z69" t="inlineStr">
        <is>
          <t>1987-12-30</t>
        </is>
      </c>
      <c r="AA69" t="n">
        <v>139</v>
      </c>
      <c r="AB69" t="n">
        <v>106</v>
      </c>
      <c r="AC69" t="n">
        <v>686</v>
      </c>
      <c r="AD69" t="n">
        <v>2</v>
      </c>
      <c r="AE69" t="n">
        <v>5</v>
      </c>
      <c r="AF69" t="n">
        <v>2</v>
      </c>
      <c r="AG69" t="n">
        <v>11</v>
      </c>
      <c r="AH69" t="n">
        <v>2</v>
      </c>
      <c r="AI69" t="n">
        <v>3</v>
      </c>
      <c r="AJ69" t="n">
        <v>0</v>
      </c>
      <c r="AK69" t="n">
        <v>0</v>
      </c>
      <c r="AL69" t="n">
        <v>1</v>
      </c>
      <c r="AM69" t="n">
        <v>6</v>
      </c>
      <c r="AN69" t="n">
        <v>0</v>
      </c>
      <c r="AO69" t="n">
        <v>3</v>
      </c>
      <c r="AP69" t="n">
        <v>0</v>
      </c>
      <c r="AQ69" t="n">
        <v>0</v>
      </c>
      <c r="AR69" t="inlineStr">
        <is>
          <t>No</t>
        </is>
      </c>
      <c r="AS69" t="inlineStr">
        <is>
          <t>No</t>
        </is>
      </c>
      <c r="AU69">
        <f>HYPERLINK("https://creighton-primo.hosted.exlibrisgroup.com/primo-explore/search?tab=default_tab&amp;search_scope=EVERYTHING&amp;vid=01CRU&amp;lang=en_US&amp;offset=0&amp;query=any,contains,991000988719702656","Catalog Record")</f>
        <v/>
      </c>
      <c r="AV69">
        <f>HYPERLINK("http://www.worldcat.org/oclc/12081609","WorldCat Record")</f>
        <v/>
      </c>
      <c r="AW69" t="inlineStr">
        <is>
          <t>3863672534:eng</t>
        </is>
      </c>
      <c r="AX69" t="inlineStr">
        <is>
          <t>12081609</t>
        </is>
      </c>
      <c r="AY69" t="inlineStr">
        <is>
          <t>991000988719702656</t>
        </is>
      </c>
      <c r="AZ69" t="inlineStr">
        <is>
          <t>991000988719702656</t>
        </is>
      </c>
      <c r="BA69" t="inlineStr">
        <is>
          <t>2266416350002656</t>
        </is>
      </c>
      <c r="BB69" t="inlineStr">
        <is>
          <t>BOOK</t>
        </is>
      </c>
      <c r="BD69" t="inlineStr">
        <is>
          <t>9780721611846</t>
        </is>
      </c>
      <c r="BE69" t="inlineStr">
        <is>
          <t>30001000219859</t>
        </is>
      </c>
      <c r="BF69" t="inlineStr">
        <is>
          <t>893632638</t>
        </is>
      </c>
    </row>
    <row r="70">
      <c r="A70" t="inlineStr">
        <is>
          <t>No</t>
        </is>
      </c>
      <c r="B70" t="inlineStr">
        <is>
          <t>CUHSL</t>
        </is>
      </c>
      <c r="C70" t="inlineStr">
        <is>
          <t>SHELVES</t>
        </is>
      </c>
      <c r="D70" t="inlineStr">
        <is>
          <t>W15 C427m 2005</t>
        </is>
      </c>
      <c r="E70" t="inlineStr">
        <is>
          <t>0                      W  0015000C  427m        2005</t>
        </is>
      </c>
      <c r="F70" t="inlineStr">
        <is>
          <t>Medical terminology : a short course / Davi-Ellen Chabner.</t>
        </is>
      </c>
      <c r="H70" t="inlineStr">
        <is>
          <t>No</t>
        </is>
      </c>
      <c r="I70" t="inlineStr">
        <is>
          <t>1</t>
        </is>
      </c>
      <c r="J70" t="inlineStr">
        <is>
          <t>No</t>
        </is>
      </c>
      <c r="K70" t="inlineStr">
        <is>
          <t>No</t>
        </is>
      </c>
      <c r="L70" t="inlineStr">
        <is>
          <t>0</t>
        </is>
      </c>
      <c r="M70" t="inlineStr">
        <is>
          <t>Chabner, Davi-Ellen.</t>
        </is>
      </c>
      <c r="N70" t="inlineStr">
        <is>
          <t>St. Louis, Mo. : Elsevier Saunders, c2005.</t>
        </is>
      </c>
      <c r="O70" t="inlineStr">
        <is>
          <t>2005</t>
        </is>
      </c>
      <c r="P70" t="inlineStr">
        <is>
          <t>4th ed.</t>
        </is>
      </c>
      <c r="Q70" t="inlineStr">
        <is>
          <t>eng</t>
        </is>
      </c>
      <c r="R70" t="inlineStr">
        <is>
          <t>mou</t>
        </is>
      </c>
      <c r="T70" t="inlineStr">
        <is>
          <t xml:space="preserve">W  </t>
        </is>
      </c>
      <c r="U70" t="n">
        <v>1</v>
      </c>
      <c r="V70" t="n">
        <v>1</v>
      </c>
      <c r="W70" t="inlineStr">
        <is>
          <t>2010-09-07</t>
        </is>
      </c>
      <c r="X70" t="inlineStr">
        <is>
          <t>2010-09-07</t>
        </is>
      </c>
      <c r="Y70" t="inlineStr">
        <is>
          <t>2006-09-28</t>
        </is>
      </c>
      <c r="Z70" t="inlineStr">
        <is>
          <t>2006-09-28</t>
        </is>
      </c>
      <c r="AA70" t="n">
        <v>99</v>
      </c>
      <c r="AB70" t="n">
        <v>86</v>
      </c>
      <c r="AC70" t="n">
        <v>801</v>
      </c>
      <c r="AD70" t="n">
        <v>1</v>
      </c>
      <c r="AE70" t="n">
        <v>4</v>
      </c>
      <c r="AF70" t="n">
        <v>0</v>
      </c>
      <c r="AG70" t="n">
        <v>10</v>
      </c>
      <c r="AH70" t="n">
        <v>0</v>
      </c>
      <c r="AI70" t="n">
        <v>2</v>
      </c>
      <c r="AJ70" t="n">
        <v>0</v>
      </c>
      <c r="AK70" t="n">
        <v>2</v>
      </c>
      <c r="AL70" t="n">
        <v>0</v>
      </c>
      <c r="AM70" t="n">
        <v>3</v>
      </c>
      <c r="AN70" t="n">
        <v>0</v>
      </c>
      <c r="AO70" t="n">
        <v>3</v>
      </c>
      <c r="AP70" t="n">
        <v>0</v>
      </c>
      <c r="AQ70" t="n">
        <v>0</v>
      </c>
      <c r="AR70" t="inlineStr">
        <is>
          <t>No</t>
        </is>
      </c>
      <c r="AS70" t="inlineStr">
        <is>
          <t>Yes</t>
        </is>
      </c>
      <c r="AT70">
        <f>HYPERLINK("http://catalog.hathitrust.org/Record/010597911","HathiTrust Record")</f>
        <v/>
      </c>
      <c r="AU70">
        <f>HYPERLINK("https://creighton-primo.hosted.exlibrisgroup.com/primo-explore/search?tab=default_tab&amp;search_scope=EVERYTHING&amp;vid=01CRU&amp;lang=en_US&amp;offset=0&amp;query=any,contains,991000546919702656","Catalog Record")</f>
        <v/>
      </c>
      <c r="AV70">
        <f>HYPERLINK("http://www.worldcat.org/oclc/59280338","WorldCat Record")</f>
        <v/>
      </c>
      <c r="AW70" t="inlineStr">
        <is>
          <t>3372106540:eng</t>
        </is>
      </c>
      <c r="AX70" t="inlineStr">
        <is>
          <t>59280338</t>
        </is>
      </c>
      <c r="AY70" t="inlineStr">
        <is>
          <t>991000546919702656</t>
        </is>
      </c>
      <c r="AZ70" t="inlineStr">
        <is>
          <t>991000546919702656</t>
        </is>
      </c>
      <c r="BA70" t="inlineStr">
        <is>
          <t>2257284410002656</t>
        </is>
      </c>
      <c r="BB70" t="inlineStr">
        <is>
          <t>BOOK</t>
        </is>
      </c>
      <c r="BD70" t="inlineStr">
        <is>
          <t>9781416001652</t>
        </is>
      </c>
      <c r="BE70" t="inlineStr">
        <is>
          <t>30001005175825</t>
        </is>
      </c>
      <c r="BF70" t="inlineStr">
        <is>
          <t>893725332</t>
        </is>
      </c>
    </row>
    <row r="71">
      <c r="A71" t="inlineStr">
        <is>
          <t>No</t>
        </is>
      </c>
      <c r="B71" t="inlineStr">
        <is>
          <t>CUHSL</t>
        </is>
      </c>
      <c r="C71" t="inlineStr">
        <is>
          <t>SHELVES</t>
        </is>
      </c>
      <c r="D71" t="inlineStr">
        <is>
          <t>W 15 C596g</t>
        </is>
      </c>
      <c r="E71" t="inlineStr">
        <is>
          <t>0                      W  0015000C  596g</t>
        </is>
      </c>
      <c r="F71" t="inlineStr">
        <is>
          <t>Guide to medical terminology / by Wallace and Anne Clark ; With a foreword by George Morris Piersol.</t>
        </is>
      </c>
      <c r="H71" t="inlineStr">
        <is>
          <t>No</t>
        </is>
      </c>
      <c r="I71" t="inlineStr">
        <is>
          <t>1</t>
        </is>
      </c>
      <c r="J71" t="inlineStr">
        <is>
          <t>No</t>
        </is>
      </c>
      <c r="K71" t="inlineStr">
        <is>
          <t>No</t>
        </is>
      </c>
      <c r="L71" t="inlineStr">
        <is>
          <t>0</t>
        </is>
      </c>
      <c r="M71" t="inlineStr">
        <is>
          <t>Clark, Wallace.</t>
        </is>
      </c>
      <c r="N71" t="inlineStr">
        <is>
          <t>Philadelphia : F.A. Davis Co., 1956.</t>
        </is>
      </c>
      <c r="O71" t="inlineStr">
        <is>
          <t>1956</t>
        </is>
      </c>
      <c r="Q71" t="inlineStr">
        <is>
          <t>eng</t>
        </is>
      </c>
      <c r="R71" t="inlineStr">
        <is>
          <t>pau</t>
        </is>
      </c>
      <c r="T71" t="inlineStr">
        <is>
          <t xml:space="preserve">W  </t>
        </is>
      </c>
      <c r="U71" t="n">
        <v>5</v>
      </c>
      <c r="V71" t="n">
        <v>5</v>
      </c>
      <c r="W71" t="inlineStr">
        <is>
          <t>1996-02-16</t>
        </is>
      </c>
      <c r="X71" t="inlineStr">
        <is>
          <t>1996-02-16</t>
        </is>
      </c>
      <c r="Y71" t="inlineStr">
        <is>
          <t>1988-02-03</t>
        </is>
      </c>
      <c r="Z71" t="inlineStr">
        <is>
          <t>1988-02-03</t>
        </is>
      </c>
      <c r="AA71" t="n">
        <v>74</v>
      </c>
      <c r="AB71" t="n">
        <v>67</v>
      </c>
      <c r="AC71" t="n">
        <v>76</v>
      </c>
      <c r="AD71" t="n">
        <v>1</v>
      </c>
      <c r="AE71" t="n">
        <v>1</v>
      </c>
      <c r="AF71" t="n">
        <v>2</v>
      </c>
      <c r="AG71" t="n">
        <v>2</v>
      </c>
      <c r="AH71" t="n">
        <v>1</v>
      </c>
      <c r="AI71" t="n">
        <v>1</v>
      </c>
      <c r="AJ71" t="n">
        <v>0</v>
      </c>
      <c r="AK71" t="n">
        <v>0</v>
      </c>
      <c r="AL71" t="n">
        <v>1</v>
      </c>
      <c r="AM71" t="n">
        <v>1</v>
      </c>
      <c r="AN71" t="n">
        <v>0</v>
      </c>
      <c r="AO71" t="n">
        <v>0</v>
      </c>
      <c r="AP71" t="n">
        <v>0</v>
      </c>
      <c r="AQ71" t="n">
        <v>0</v>
      </c>
      <c r="AR71" t="inlineStr">
        <is>
          <t>Yes</t>
        </is>
      </c>
      <c r="AS71" t="inlineStr">
        <is>
          <t>No</t>
        </is>
      </c>
      <c r="AT71">
        <f>HYPERLINK("http://catalog.hathitrust.org/Record/001556848","HathiTrust Record")</f>
        <v/>
      </c>
      <c r="AU71">
        <f>HYPERLINK("https://creighton-primo.hosted.exlibrisgroup.com/primo-explore/search?tab=default_tab&amp;search_scope=EVERYTHING&amp;vid=01CRU&amp;lang=en_US&amp;offset=0&amp;query=any,contains,991000988759702656","Catalog Record")</f>
        <v/>
      </c>
      <c r="AV71">
        <f>HYPERLINK("http://www.worldcat.org/oclc/2342728","WorldCat Record")</f>
        <v/>
      </c>
      <c r="AW71" t="inlineStr">
        <is>
          <t>257254875:eng</t>
        </is>
      </c>
      <c r="AX71" t="inlineStr">
        <is>
          <t>2342728</t>
        </is>
      </c>
      <c r="AY71" t="inlineStr">
        <is>
          <t>991000988759702656</t>
        </is>
      </c>
      <c r="AZ71" t="inlineStr">
        <is>
          <t>991000988759702656</t>
        </is>
      </c>
      <c r="BA71" t="inlineStr">
        <is>
          <t>2262699580002656</t>
        </is>
      </c>
      <c r="BB71" t="inlineStr">
        <is>
          <t>BOOK</t>
        </is>
      </c>
      <c r="BE71" t="inlineStr">
        <is>
          <t>30001000219867</t>
        </is>
      </c>
      <c r="BF71" t="inlineStr">
        <is>
          <t>893731584</t>
        </is>
      </c>
    </row>
    <row r="72">
      <c r="A72" t="inlineStr">
        <is>
          <t>No</t>
        </is>
      </c>
      <c r="B72" t="inlineStr">
        <is>
          <t>CUHSL</t>
        </is>
      </c>
      <c r="C72" t="inlineStr">
        <is>
          <t>SHELVES</t>
        </is>
      </c>
      <c r="D72" t="inlineStr">
        <is>
          <t>W15 C882 2008</t>
        </is>
      </c>
      <c r="E72" t="inlineStr">
        <is>
          <t>0                      W  0015000C  882         2008</t>
        </is>
      </c>
      <c r="F72" t="inlineStr">
        <is>
          <t>CPT 2008 : current procedural terminology / Michael Beebe ... [et al.].</t>
        </is>
      </c>
      <c r="H72" t="inlineStr">
        <is>
          <t>No</t>
        </is>
      </c>
      <c r="I72" t="inlineStr">
        <is>
          <t>1</t>
        </is>
      </c>
      <c r="J72" t="inlineStr">
        <is>
          <t>No</t>
        </is>
      </c>
      <c r="K72" t="inlineStr">
        <is>
          <t>No</t>
        </is>
      </c>
      <c r="L72" t="inlineStr">
        <is>
          <t>0</t>
        </is>
      </c>
      <c r="N72" t="inlineStr">
        <is>
          <t>Chicago, Ill. : American Medical Association, c2008.</t>
        </is>
      </c>
      <c r="O72" t="inlineStr">
        <is>
          <t>2008</t>
        </is>
      </c>
      <c r="P72" t="inlineStr">
        <is>
          <t>Professional ed.</t>
        </is>
      </c>
      <c r="Q72" t="inlineStr">
        <is>
          <t>eng</t>
        </is>
      </c>
      <c r="R72" t="inlineStr">
        <is>
          <t>ilu</t>
        </is>
      </c>
      <c r="T72" t="inlineStr">
        <is>
          <t xml:space="preserve">W  </t>
        </is>
      </c>
      <c r="U72" t="n">
        <v>9</v>
      </c>
      <c r="V72" t="n">
        <v>9</v>
      </c>
      <c r="W72" t="inlineStr">
        <is>
          <t>2010-11-20</t>
        </is>
      </c>
      <c r="X72" t="inlineStr">
        <is>
          <t>2010-11-20</t>
        </is>
      </c>
      <c r="Y72" t="inlineStr">
        <is>
          <t>2008-01-22</t>
        </is>
      </c>
      <c r="Z72" t="inlineStr">
        <is>
          <t>2008-01-22</t>
        </is>
      </c>
      <c r="AA72" t="n">
        <v>7</v>
      </c>
      <c r="AB72" t="n">
        <v>7</v>
      </c>
      <c r="AC72" t="n">
        <v>86</v>
      </c>
      <c r="AD72" t="n">
        <v>1</v>
      </c>
      <c r="AE72" t="n">
        <v>1</v>
      </c>
      <c r="AF72" t="n">
        <v>0</v>
      </c>
      <c r="AG72" t="n">
        <v>0</v>
      </c>
      <c r="AH72" t="n">
        <v>0</v>
      </c>
      <c r="AI72" t="n">
        <v>0</v>
      </c>
      <c r="AJ72" t="n">
        <v>0</v>
      </c>
      <c r="AK72" t="n">
        <v>0</v>
      </c>
      <c r="AL72" t="n">
        <v>0</v>
      </c>
      <c r="AM72" t="n">
        <v>0</v>
      </c>
      <c r="AN72" t="n">
        <v>0</v>
      </c>
      <c r="AO72" t="n">
        <v>0</v>
      </c>
      <c r="AP72" t="n">
        <v>0</v>
      </c>
      <c r="AQ72" t="n">
        <v>0</v>
      </c>
      <c r="AR72" t="inlineStr">
        <is>
          <t>No</t>
        </is>
      </c>
      <c r="AS72" t="inlineStr">
        <is>
          <t>No</t>
        </is>
      </c>
      <c r="AU72">
        <f>HYPERLINK("https://creighton-primo.hosted.exlibrisgroup.com/primo-explore/search?tab=default_tab&amp;search_scope=EVERYTHING&amp;vid=01CRU&amp;lang=en_US&amp;offset=0&amp;query=any,contains,991000673869702656","Catalog Record")</f>
        <v/>
      </c>
      <c r="AV72">
        <f>HYPERLINK("http://www.worldcat.org/oclc/181336852","WorldCat Record")</f>
        <v/>
      </c>
      <c r="AW72" t="inlineStr">
        <is>
          <t>3768724479:eng</t>
        </is>
      </c>
      <c r="AX72" t="inlineStr">
        <is>
          <t>181336852</t>
        </is>
      </c>
      <c r="AY72" t="inlineStr">
        <is>
          <t>991000673869702656</t>
        </is>
      </c>
      <c r="AZ72" t="inlineStr">
        <is>
          <t>991000673869702656</t>
        </is>
      </c>
      <c r="BA72" t="inlineStr">
        <is>
          <t>2263013920002656</t>
        </is>
      </c>
      <c r="BB72" t="inlineStr">
        <is>
          <t>BOOK</t>
        </is>
      </c>
      <c r="BD72" t="inlineStr">
        <is>
          <t>9781579479404</t>
        </is>
      </c>
      <c r="BE72" t="inlineStr">
        <is>
          <t>30001005270600</t>
        </is>
      </c>
      <c r="BF72" t="inlineStr">
        <is>
          <t>893148024</t>
        </is>
      </c>
    </row>
    <row r="73">
      <c r="A73" t="inlineStr">
        <is>
          <t>No</t>
        </is>
      </c>
      <c r="B73" t="inlineStr">
        <is>
          <t>CUHSL</t>
        </is>
      </c>
      <c r="C73" t="inlineStr">
        <is>
          <t>SHELVES</t>
        </is>
      </c>
      <c r="D73" t="inlineStr">
        <is>
          <t>W 15 G665m 2004</t>
        </is>
      </c>
      <c r="E73" t="inlineStr">
        <is>
          <t>0                      W  0015000G  665m        2004</t>
        </is>
      </c>
      <c r="F73" t="inlineStr">
        <is>
          <t>Medical terminology workbook / compiled by Lesley Graham ; illustrations by Tanya Dalley.</t>
        </is>
      </c>
      <c r="H73" t="inlineStr">
        <is>
          <t>No</t>
        </is>
      </c>
      <c r="I73" t="inlineStr">
        <is>
          <t>1</t>
        </is>
      </c>
      <c r="J73" t="inlineStr">
        <is>
          <t>No</t>
        </is>
      </c>
      <c r="K73" t="inlineStr">
        <is>
          <t>No</t>
        </is>
      </c>
      <c r="L73" t="inlineStr">
        <is>
          <t>0</t>
        </is>
      </c>
      <c r="M73" t="inlineStr">
        <is>
          <t>Graham, Lesley T.</t>
        </is>
      </c>
      <c r="O73" t="inlineStr">
        <is>
          <t>2004</t>
        </is>
      </c>
      <c r="P73" t="inlineStr">
        <is>
          <t>4th ed.</t>
        </is>
      </c>
      <c r="Q73" t="inlineStr">
        <is>
          <t>eng</t>
        </is>
      </c>
      <c r="R73" t="inlineStr">
        <is>
          <t xml:space="preserve">at </t>
        </is>
      </c>
      <c r="T73" t="inlineStr">
        <is>
          <t xml:space="preserve">W  </t>
        </is>
      </c>
      <c r="U73" t="n">
        <v>1</v>
      </c>
      <c r="V73" t="n">
        <v>1</v>
      </c>
      <c r="W73" t="inlineStr">
        <is>
          <t>2004-10-04</t>
        </is>
      </c>
      <c r="X73" t="inlineStr">
        <is>
          <t>2004-10-04</t>
        </is>
      </c>
      <c r="Y73" t="inlineStr">
        <is>
          <t>2004-09-29</t>
        </is>
      </c>
      <c r="Z73" t="inlineStr">
        <is>
          <t>2004-09-29</t>
        </is>
      </c>
      <c r="AA73" t="n">
        <v>7</v>
      </c>
      <c r="AB73" t="n">
        <v>1</v>
      </c>
      <c r="AC73" t="n">
        <v>1</v>
      </c>
      <c r="AD73" t="n">
        <v>1</v>
      </c>
      <c r="AE73" t="n">
        <v>1</v>
      </c>
      <c r="AF73" t="n">
        <v>0</v>
      </c>
      <c r="AG73" t="n">
        <v>0</v>
      </c>
      <c r="AH73" t="n">
        <v>0</v>
      </c>
      <c r="AI73" t="n">
        <v>0</v>
      </c>
      <c r="AJ73" t="n">
        <v>0</v>
      </c>
      <c r="AK73" t="n">
        <v>0</v>
      </c>
      <c r="AL73" t="n">
        <v>0</v>
      </c>
      <c r="AM73" t="n">
        <v>0</v>
      </c>
      <c r="AN73" t="n">
        <v>0</v>
      </c>
      <c r="AO73" t="n">
        <v>0</v>
      </c>
      <c r="AP73" t="n">
        <v>0</v>
      </c>
      <c r="AQ73" t="n">
        <v>0</v>
      </c>
      <c r="AR73" t="inlineStr">
        <is>
          <t>No</t>
        </is>
      </c>
      <c r="AS73" t="inlineStr">
        <is>
          <t>No</t>
        </is>
      </c>
      <c r="AU73">
        <f>HYPERLINK("https://creighton-primo.hosted.exlibrisgroup.com/primo-explore/search?tab=default_tab&amp;search_scope=EVERYTHING&amp;vid=01CRU&amp;lang=en_US&amp;offset=0&amp;query=any,contains,991000398879702656","Catalog Record")</f>
        <v/>
      </c>
      <c r="AV73">
        <f>HYPERLINK("http://www.worldcat.org/oclc/56578829","WorldCat Record")</f>
        <v/>
      </c>
      <c r="AW73" t="inlineStr">
        <is>
          <t>501698505:eng</t>
        </is>
      </c>
      <c r="AX73" t="inlineStr">
        <is>
          <t>56578829</t>
        </is>
      </c>
      <c r="AY73" t="inlineStr">
        <is>
          <t>991000398879702656</t>
        </is>
      </c>
      <c r="AZ73" t="inlineStr">
        <is>
          <t>991000398879702656</t>
        </is>
      </c>
      <c r="BA73" t="inlineStr">
        <is>
          <t>2267450300002656</t>
        </is>
      </c>
      <c r="BB73" t="inlineStr">
        <is>
          <t>BOOK</t>
        </is>
      </c>
      <c r="BD73" t="inlineStr">
        <is>
          <t>9780958198509</t>
        </is>
      </c>
      <c r="BE73" t="inlineStr">
        <is>
          <t>30001004810414</t>
        </is>
      </c>
      <c r="BF73" t="inlineStr">
        <is>
          <t>893452086</t>
        </is>
      </c>
    </row>
    <row r="74">
      <c r="A74" t="inlineStr">
        <is>
          <t>No</t>
        </is>
      </c>
      <c r="B74" t="inlineStr">
        <is>
          <t>CUHSL</t>
        </is>
      </c>
      <c r="C74" t="inlineStr">
        <is>
          <t>SHELVES</t>
        </is>
      </c>
      <c r="D74" t="inlineStr">
        <is>
          <t>W 15 S628o 1949</t>
        </is>
      </c>
      <c r="E74" t="inlineStr">
        <is>
          <t>0                      W  0015000S  628o        1949</t>
        </is>
      </c>
      <c r="F74" t="inlineStr">
        <is>
          <t>The origin of medical terms / Henry Alan Skinner.</t>
        </is>
      </c>
      <c r="G74" t="inlineStr">
        <is>
          <t>V. 1</t>
        </is>
      </c>
      <c r="H74" t="inlineStr">
        <is>
          <t>No</t>
        </is>
      </c>
      <c r="I74" t="inlineStr">
        <is>
          <t>2</t>
        </is>
      </c>
      <c r="J74" t="inlineStr">
        <is>
          <t>Yes</t>
        </is>
      </c>
      <c r="K74" t="inlineStr">
        <is>
          <t>No</t>
        </is>
      </c>
      <c r="L74" t="inlineStr">
        <is>
          <t>0</t>
        </is>
      </c>
      <c r="M74" t="inlineStr">
        <is>
          <t>Skinner, Henry Alan.</t>
        </is>
      </c>
      <c r="N74" t="inlineStr">
        <is>
          <t>Baltimore : Williams &amp; Wilkins Co., c1949.</t>
        </is>
      </c>
      <c r="O74" t="inlineStr">
        <is>
          <t>1949</t>
        </is>
      </c>
      <c r="Q74" t="inlineStr">
        <is>
          <t>eng</t>
        </is>
      </c>
      <c r="R74" t="inlineStr">
        <is>
          <t>mdu</t>
        </is>
      </c>
      <c r="T74" t="inlineStr">
        <is>
          <t xml:space="preserve">W  </t>
        </is>
      </c>
      <c r="U74" t="n">
        <v>5</v>
      </c>
      <c r="V74" t="n">
        <v>12</v>
      </c>
      <c r="W74" t="inlineStr">
        <is>
          <t>2008-11-13</t>
        </is>
      </c>
      <c r="X74" t="inlineStr">
        <is>
          <t>2008-11-13</t>
        </is>
      </c>
      <c r="Y74" t="inlineStr">
        <is>
          <t>1989-09-09</t>
        </is>
      </c>
      <c r="Z74" t="inlineStr">
        <is>
          <t>1989-09-09</t>
        </is>
      </c>
      <c r="AA74" t="n">
        <v>220</v>
      </c>
      <c r="AB74" t="n">
        <v>181</v>
      </c>
      <c r="AC74" t="n">
        <v>513</v>
      </c>
      <c r="AD74" t="n">
        <v>4</v>
      </c>
      <c r="AE74" t="n">
        <v>5</v>
      </c>
      <c r="AF74" t="n">
        <v>8</v>
      </c>
      <c r="AG74" t="n">
        <v>17</v>
      </c>
      <c r="AH74" t="n">
        <v>1</v>
      </c>
      <c r="AI74" t="n">
        <v>6</v>
      </c>
      <c r="AJ74" t="n">
        <v>0</v>
      </c>
      <c r="AK74" t="n">
        <v>2</v>
      </c>
      <c r="AL74" t="n">
        <v>4</v>
      </c>
      <c r="AM74" t="n">
        <v>7</v>
      </c>
      <c r="AN74" t="n">
        <v>3</v>
      </c>
      <c r="AO74" t="n">
        <v>3</v>
      </c>
      <c r="AP74" t="n">
        <v>0</v>
      </c>
      <c r="AQ74" t="n">
        <v>0</v>
      </c>
      <c r="AR74" t="inlineStr">
        <is>
          <t>Yes</t>
        </is>
      </c>
      <c r="AS74" t="inlineStr">
        <is>
          <t>No</t>
        </is>
      </c>
      <c r="AT74">
        <f>HYPERLINK("http://catalog.hathitrust.org/Record/001556871","HathiTrust Record")</f>
        <v/>
      </c>
      <c r="AU74">
        <f>HYPERLINK("https://creighton-primo.hosted.exlibrisgroup.com/primo-explore/search?tab=default_tab&amp;search_scope=EVERYTHING&amp;vid=01CRU&amp;lang=en_US&amp;offset=0&amp;query=any,contains,991000988919702656","Catalog Record")</f>
        <v/>
      </c>
      <c r="AV74">
        <f>HYPERLINK("http://www.worldcat.org/oclc/1007686","WorldCat Record")</f>
        <v/>
      </c>
      <c r="AW74" t="inlineStr">
        <is>
          <t>1279789:eng</t>
        </is>
      </c>
      <c r="AX74" t="inlineStr">
        <is>
          <t>1007686</t>
        </is>
      </c>
      <c r="AY74" t="inlineStr">
        <is>
          <t>991000988919702656</t>
        </is>
      </c>
      <c r="AZ74" t="inlineStr">
        <is>
          <t>991000988919702656</t>
        </is>
      </c>
      <c r="BA74" t="inlineStr">
        <is>
          <t>2262451140002656</t>
        </is>
      </c>
      <c r="BB74" t="inlineStr">
        <is>
          <t>BOOK</t>
        </is>
      </c>
      <c r="BE74" t="inlineStr">
        <is>
          <t>30001000219933</t>
        </is>
      </c>
      <c r="BF74" t="inlineStr">
        <is>
          <t>893815984</t>
        </is>
      </c>
    </row>
    <row r="75">
      <c r="A75" t="inlineStr">
        <is>
          <t>No</t>
        </is>
      </c>
      <c r="B75" t="inlineStr">
        <is>
          <t>CUHSL</t>
        </is>
      </c>
      <c r="C75" t="inlineStr">
        <is>
          <t>SHELVES</t>
        </is>
      </c>
      <c r="D75" t="inlineStr">
        <is>
          <t>W 15 S628o 1949</t>
        </is>
      </c>
      <c r="E75" t="inlineStr">
        <is>
          <t>0                      W  0015000S  628o        1949</t>
        </is>
      </c>
      <c r="F75" t="inlineStr">
        <is>
          <t>The origin of medical terms / Henry Alan Skinner.</t>
        </is>
      </c>
      <c r="G75" t="inlineStr">
        <is>
          <t>V. 1</t>
        </is>
      </c>
      <c r="H75" t="inlineStr">
        <is>
          <t>No</t>
        </is>
      </c>
      <c r="I75" t="inlineStr">
        <is>
          <t>1</t>
        </is>
      </c>
      <c r="J75" t="inlineStr">
        <is>
          <t>Yes</t>
        </is>
      </c>
      <c r="K75" t="inlineStr">
        <is>
          <t>No</t>
        </is>
      </c>
      <c r="L75" t="inlineStr">
        <is>
          <t>0</t>
        </is>
      </c>
      <c r="M75" t="inlineStr">
        <is>
          <t>Skinner, Henry Alan.</t>
        </is>
      </c>
      <c r="N75" t="inlineStr">
        <is>
          <t>Baltimore : Williams &amp; Wilkins Co., c1949.</t>
        </is>
      </c>
      <c r="O75" t="inlineStr">
        <is>
          <t>1949</t>
        </is>
      </c>
      <c r="Q75" t="inlineStr">
        <is>
          <t>eng</t>
        </is>
      </c>
      <c r="R75" t="inlineStr">
        <is>
          <t>mdu</t>
        </is>
      </c>
      <c r="T75" t="inlineStr">
        <is>
          <t xml:space="preserve">W  </t>
        </is>
      </c>
      <c r="U75" t="n">
        <v>7</v>
      </c>
      <c r="V75" t="n">
        <v>12</v>
      </c>
      <c r="W75" t="inlineStr">
        <is>
          <t>1996-01-25</t>
        </is>
      </c>
      <c r="X75" t="inlineStr">
        <is>
          <t>2008-11-13</t>
        </is>
      </c>
      <c r="Y75" t="inlineStr">
        <is>
          <t>1989-09-09</t>
        </is>
      </c>
      <c r="Z75" t="inlineStr">
        <is>
          <t>1989-09-09</t>
        </is>
      </c>
      <c r="AA75" t="n">
        <v>220</v>
      </c>
      <c r="AB75" t="n">
        <v>181</v>
      </c>
      <c r="AC75" t="n">
        <v>513</v>
      </c>
      <c r="AD75" t="n">
        <v>4</v>
      </c>
      <c r="AE75" t="n">
        <v>5</v>
      </c>
      <c r="AF75" t="n">
        <v>8</v>
      </c>
      <c r="AG75" t="n">
        <v>17</v>
      </c>
      <c r="AH75" t="n">
        <v>1</v>
      </c>
      <c r="AI75" t="n">
        <v>6</v>
      </c>
      <c r="AJ75" t="n">
        <v>0</v>
      </c>
      <c r="AK75" t="n">
        <v>2</v>
      </c>
      <c r="AL75" t="n">
        <v>4</v>
      </c>
      <c r="AM75" t="n">
        <v>7</v>
      </c>
      <c r="AN75" t="n">
        <v>3</v>
      </c>
      <c r="AO75" t="n">
        <v>3</v>
      </c>
      <c r="AP75" t="n">
        <v>0</v>
      </c>
      <c r="AQ75" t="n">
        <v>0</v>
      </c>
      <c r="AR75" t="inlineStr">
        <is>
          <t>Yes</t>
        </is>
      </c>
      <c r="AS75" t="inlineStr">
        <is>
          <t>No</t>
        </is>
      </c>
      <c r="AT75">
        <f>HYPERLINK("http://catalog.hathitrust.org/Record/001556871","HathiTrust Record")</f>
        <v/>
      </c>
      <c r="AU75">
        <f>HYPERLINK("https://creighton-primo.hosted.exlibrisgroup.com/primo-explore/search?tab=default_tab&amp;search_scope=EVERYTHING&amp;vid=01CRU&amp;lang=en_US&amp;offset=0&amp;query=any,contains,991000988919702656","Catalog Record")</f>
        <v/>
      </c>
      <c r="AV75">
        <f>HYPERLINK("http://www.worldcat.org/oclc/1007686","WorldCat Record")</f>
        <v/>
      </c>
      <c r="AW75" t="inlineStr">
        <is>
          <t>1279789:eng</t>
        </is>
      </c>
      <c r="AX75" t="inlineStr">
        <is>
          <t>1007686</t>
        </is>
      </c>
      <c r="AY75" t="inlineStr">
        <is>
          <t>991000988919702656</t>
        </is>
      </c>
      <c r="AZ75" t="inlineStr">
        <is>
          <t>991000988919702656</t>
        </is>
      </c>
      <c r="BA75" t="inlineStr">
        <is>
          <t>2262451140002656</t>
        </is>
      </c>
      <c r="BB75" t="inlineStr">
        <is>
          <t>BOOK</t>
        </is>
      </c>
      <c r="BE75" t="inlineStr">
        <is>
          <t>30001000219941</t>
        </is>
      </c>
      <c r="BF75" t="inlineStr">
        <is>
          <t>893820798</t>
        </is>
      </c>
    </row>
    <row r="76">
      <c r="A76" t="inlineStr">
        <is>
          <t>No</t>
        </is>
      </c>
      <c r="B76" t="inlineStr">
        <is>
          <t>CUHSL</t>
        </is>
      </c>
      <c r="C76" t="inlineStr">
        <is>
          <t>SHELVES</t>
        </is>
      </c>
      <c r="D76" t="inlineStr">
        <is>
          <t>W 15 T993m 1979</t>
        </is>
      </c>
      <c r="E76" t="inlineStr">
        <is>
          <t>0                      W  0015000T  993m        1979</t>
        </is>
      </c>
      <c r="F76" t="inlineStr">
        <is>
          <t>Medical terminology for medical students / by William Blake Tyrrell ; ill. by Doris L. Eisenstein.</t>
        </is>
      </c>
      <c r="H76" t="inlineStr">
        <is>
          <t>No</t>
        </is>
      </c>
      <c r="I76" t="inlineStr">
        <is>
          <t>1</t>
        </is>
      </c>
      <c r="J76" t="inlineStr">
        <is>
          <t>No</t>
        </is>
      </c>
      <c r="K76" t="inlineStr">
        <is>
          <t>No</t>
        </is>
      </c>
      <c r="L76" t="inlineStr">
        <is>
          <t>0</t>
        </is>
      </c>
      <c r="M76" t="inlineStr">
        <is>
          <t>Tyrrell, William Blake.</t>
        </is>
      </c>
      <c r="N76" t="inlineStr">
        <is>
          <t>Springfield, Ill. : Thomas, c1979.</t>
        </is>
      </c>
      <c r="O76" t="inlineStr">
        <is>
          <t>1979</t>
        </is>
      </c>
      <c r="Q76" t="inlineStr">
        <is>
          <t>eng</t>
        </is>
      </c>
      <c r="R76" t="inlineStr">
        <is>
          <t>ilu</t>
        </is>
      </c>
      <c r="T76" t="inlineStr">
        <is>
          <t xml:space="preserve">W  </t>
        </is>
      </c>
      <c r="U76" t="n">
        <v>7</v>
      </c>
      <c r="V76" t="n">
        <v>7</v>
      </c>
      <c r="W76" t="inlineStr">
        <is>
          <t>2008-11-13</t>
        </is>
      </c>
      <c r="X76" t="inlineStr">
        <is>
          <t>2008-11-13</t>
        </is>
      </c>
      <c r="Y76" t="inlineStr">
        <is>
          <t>1987-12-30</t>
        </is>
      </c>
      <c r="Z76" t="inlineStr">
        <is>
          <t>1987-12-30</t>
        </is>
      </c>
      <c r="AA76" t="n">
        <v>92</v>
      </c>
      <c r="AB76" t="n">
        <v>79</v>
      </c>
      <c r="AC76" t="n">
        <v>104</v>
      </c>
      <c r="AD76" t="n">
        <v>2</v>
      </c>
      <c r="AE76" t="n">
        <v>2</v>
      </c>
      <c r="AF76" t="n">
        <v>1</v>
      </c>
      <c r="AG76" t="n">
        <v>2</v>
      </c>
      <c r="AH76" t="n">
        <v>0</v>
      </c>
      <c r="AI76" t="n">
        <v>0</v>
      </c>
      <c r="AJ76" t="n">
        <v>0</v>
      </c>
      <c r="AK76" t="n">
        <v>1</v>
      </c>
      <c r="AL76" t="n">
        <v>0</v>
      </c>
      <c r="AM76" t="n">
        <v>1</v>
      </c>
      <c r="AN76" t="n">
        <v>1</v>
      </c>
      <c r="AO76" t="n">
        <v>1</v>
      </c>
      <c r="AP76" t="n">
        <v>0</v>
      </c>
      <c r="AQ76" t="n">
        <v>0</v>
      </c>
      <c r="AR76" t="inlineStr">
        <is>
          <t>No</t>
        </is>
      </c>
      <c r="AS76" t="inlineStr">
        <is>
          <t>Yes</t>
        </is>
      </c>
      <c r="AT76">
        <f>HYPERLINK("http://catalog.hathitrust.org/Record/006251012","HathiTrust Record")</f>
        <v/>
      </c>
      <c r="AU76">
        <f>HYPERLINK("https://creighton-primo.hosted.exlibrisgroup.com/primo-explore/search?tab=default_tab&amp;search_scope=EVERYTHING&amp;vid=01CRU&amp;lang=en_US&amp;offset=0&amp;query=any,contains,991000988969702656","Catalog Record")</f>
        <v/>
      </c>
      <c r="AV76">
        <f>HYPERLINK("http://www.worldcat.org/oclc/3843941","WorldCat Record")</f>
        <v/>
      </c>
      <c r="AW76" t="inlineStr">
        <is>
          <t>13126357:eng</t>
        </is>
      </c>
      <c r="AX76" t="inlineStr">
        <is>
          <t>3843941</t>
        </is>
      </c>
      <c r="AY76" t="inlineStr">
        <is>
          <t>991000988969702656</t>
        </is>
      </c>
      <c r="AZ76" t="inlineStr">
        <is>
          <t>991000988969702656</t>
        </is>
      </c>
      <c r="BA76" t="inlineStr">
        <is>
          <t>2264879180002656</t>
        </is>
      </c>
      <c r="BB76" t="inlineStr">
        <is>
          <t>BOOK</t>
        </is>
      </c>
      <c r="BD76" t="inlineStr">
        <is>
          <t>9780398038106</t>
        </is>
      </c>
      <c r="BE76" t="inlineStr">
        <is>
          <t>30001000219958</t>
        </is>
      </c>
      <c r="BF76" t="inlineStr">
        <is>
          <t>893736122</t>
        </is>
      </c>
    </row>
    <row r="77">
      <c r="A77" t="inlineStr">
        <is>
          <t>No</t>
        </is>
      </c>
      <c r="B77" t="inlineStr">
        <is>
          <t>CUHSL</t>
        </is>
      </c>
      <c r="C77" t="inlineStr">
        <is>
          <t>SHELVES</t>
        </is>
      </c>
      <c r="D77" t="inlineStr">
        <is>
          <t>W 15 V132m 1977</t>
        </is>
      </c>
      <c r="E77" t="inlineStr">
        <is>
          <t>0                      W  0015000V  132m        1977</t>
        </is>
      </c>
      <c r="F77" t="inlineStr">
        <is>
          <t>Medicine's metaphors : messages &amp; menaces / Samuel Vaisrub.</t>
        </is>
      </c>
      <c r="H77" t="inlineStr">
        <is>
          <t>No</t>
        </is>
      </c>
      <c r="I77" t="inlineStr">
        <is>
          <t>1</t>
        </is>
      </c>
      <c r="J77" t="inlineStr">
        <is>
          <t>No</t>
        </is>
      </c>
      <c r="K77" t="inlineStr">
        <is>
          <t>No</t>
        </is>
      </c>
      <c r="L77" t="inlineStr">
        <is>
          <t>0</t>
        </is>
      </c>
      <c r="M77" t="inlineStr">
        <is>
          <t>Vaisrub, Samuel, 1906-</t>
        </is>
      </c>
      <c r="N77" t="inlineStr">
        <is>
          <t>-- Oradell, N.J. : Medical Economics, Book Division, c1977.</t>
        </is>
      </c>
      <c r="O77" t="inlineStr">
        <is>
          <t>1977</t>
        </is>
      </c>
      <c r="Q77" t="inlineStr">
        <is>
          <t>eng</t>
        </is>
      </c>
      <c r="R77" t="inlineStr">
        <is>
          <t>nju</t>
        </is>
      </c>
      <c r="T77" t="inlineStr">
        <is>
          <t xml:space="preserve">W  </t>
        </is>
      </c>
      <c r="U77" t="n">
        <v>4</v>
      </c>
      <c r="V77" t="n">
        <v>4</v>
      </c>
      <c r="W77" t="inlineStr">
        <is>
          <t>1995-04-13</t>
        </is>
      </c>
      <c r="X77" t="inlineStr">
        <is>
          <t>1995-04-13</t>
        </is>
      </c>
      <c r="Y77" t="inlineStr">
        <is>
          <t>1987-12-30</t>
        </is>
      </c>
      <c r="Z77" t="inlineStr">
        <is>
          <t>1987-12-30</t>
        </is>
      </c>
      <c r="AA77" t="n">
        <v>105</v>
      </c>
      <c r="AB77" t="n">
        <v>88</v>
      </c>
      <c r="AC77" t="n">
        <v>90</v>
      </c>
      <c r="AD77" t="n">
        <v>1</v>
      </c>
      <c r="AE77" t="n">
        <v>1</v>
      </c>
      <c r="AF77" t="n">
        <v>2</v>
      </c>
      <c r="AG77" t="n">
        <v>2</v>
      </c>
      <c r="AH77" t="n">
        <v>1</v>
      </c>
      <c r="AI77" t="n">
        <v>1</v>
      </c>
      <c r="AJ77" t="n">
        <v>1</v>
      </c>
      <c r="AK77" t="n">
        <v>1</v>
      </c>
      <c r="AL77" t="n">
        <v>1</v>
      </c>
      <c r="AM77" t="n">
        <v>1</v>
      </c>
      <c r="AN77" t="n">
        <v>0</v>
      </c>
      <c r="AO77" t="n">
        <v>0</v>
      </c>
      <c r="AP77" t="n">
        <v>0</v>
      </c>
      <c r="AQ77" t="n">
        <v>0</v>
      </c>
      <c r="AR77" t="inlineStr">
        <is>
          <t>No</t>
        </is>
      </c>
      <c r="AS77" t="inlineStr">
        <is>
          <t>Yes</t>
        </is>
      </c>
      <c r="AT77">
        <f>HYPERLINK("http://catalog.hathitrust.org/Record/002715445","HathiTrust Record")</f>
        <v/>
      </c>
      <c r="AU77">
        <f>HYPERLINK("https://creighton-primo.hosted.exlibrisgroup.com/primo-explore/search?tab=default_tab&amp;search_scope=EVERYTHING&amp;vid=01CRU&amp;lang=en_US&amp;offset=0&amp;query=any,contains,991000988989702656","Catalog Record")</f>
        <v/>
      </c>
      <c r="AV77">
        <f>HYPERLINK("http://www.worldcat.org/oclc/3272552","WorldCat Record")</f>
        <v/>
      </c>
      <c r="AW77" t="inlineStr">
        <is>
          <t>9200168:eng</t>
        </is>
      </c>
      <c r="AX77" t="inlineStr">
        <is>
          <t>3272552</t>
        </is>
      </c>
      <c r="AY77" t="inlineStr">
        <is>
          <t>991000988989702656</t>
        </is>
      </c>
      <c r="AZ77" t="inlineStr">
        <is>
          <t>991000988989702656</t>
        </is>
      </c>
      <c r="BA77" t="inlineStr">
        <is>
          <t>2263629030002656</t>
        </is>
      </c>
      <c r="BB77" t="inlineStr">
        <is>
          <t>BOOK</t>
        </is>
      </c>
      <c r="BD77" t="inlineStr">
        <is>
          <t>9780874890112</t>
        </is>
      </c>
      <c r="BE77" t="inlineStr">
        <is>
          <t>30001000219982</t>
        </is>
      </c>
      <c r="BF77" t="inlineStr">
        <is>
          <t>893648821</t>
        </is>
      </c>
    </row>
    <row r="78">
      <c r="A78" t="inlineStr">
        <is>
          <t>No</t>
        </is>
      </c>
      <c r="B78" t="inlineStr">
        <is>
          <t>CUHSL</t>
        </is>
      </c>
      <c r="C78" t="inlineStr">
        <is>
          <t>SHELVES</t>
        </is>
      </c>
      <c r="D78" t="inlineStr">
        <is>
          <t>W 15 W735m 1996</t>
        </is>
      </c>
      <c r="E78" t="inlineStr">
        <is>
          <t>0                      W  0015000W  735m        1996</t>
        </is>
      </c>
      <c r="F78" t="inlineStr">
        <is>
          <t>Medical terminology : the language of health care / Marjorie Canfield Willis.</t>
        </is>
      </c>
      <c r="H78" t="inlineStr">
        <is>
          <t>No</t>
        </is>
      </c>
      <c r="I78" t="inlineStr">
        <is>
          <t>1</t>
        </is>
      </c>
      <c r="J78" t="inlineStr">
        <is>
          <t>No</t>
        </is>
      </c>
      <c r="K78" t="inlineStr">
        <is>
          <t>Yes</t>
        </is>
      </c>
      <c r="L78" t="inlineStr">
        <is>
          <t>0</t>
        </is>
      </c>
      <c r="M78" t="inlineStr">
        <is>
          <t>Willis, Marjorie Canfield.</t>
        </is>
      </c>
      <c r="N78" t="inlineStr">
        <is>
          <t>Baltimore : Williams &amp; Wilkins, c1996.</t>
        </is>
      </c>
      <c r="O78" t="inlineStr">
        <is>
          <t>1996</t>
        </is>
      </c>
      <c r="Q78" t="inlineStr">
        <is>
          <t>eng</t>
        </is>
      </c>
      <c r="R78" t="inlineStr">
        <is>
          <t>mdu</t>
        </is>
      </c>
      <c r="T78" t="inlineStr">
        <is>
          <t xml:space="preserve">W  </t>
        </is>
      </c>
      <c r="U78" t="n">
        <v>5</v>
      </c>
      <c r="V78" t="n">
        <v>5</v>
      </c>
      <c r="W78" t="inlineStr">
        <is>
          <t>2004-05-05</t>
        </is>
      </c>
      <c r="X78" t="inlineStr">
        <is>
          <t>2004-05-05</t>
        </is>
      </c>
      <c r="Y78" t="inlineStr">
        <is>
          <t>1999-09-09</t>
        </is>
      </c>
      <c r="Z78" t="inlineStr">
        <is>
          <t>1999-09-09</t>
        </is>
      </c>
      <c r="AA78" t="n">
        <v>159</v>
      </c>
      <c r="AB78" t="n">
        <v>134</v>
      </c>
      <c r="AC78" t="n">
        <v>282</v>
      </c>
      <c r="AD78" t="n">
        <v>3</v>
      </c>
      <c r="AE78" t="n">
        <v>4</v>
      </c>
      <c r="AF78" t="n">
        <v>2</v>
      </c>
      <c r="AG78" t="n">
        <v>7</v>
      </c>
      <c r="AH78" t="n">
        <v>0</v>
      </c>
      <c r="AI78" t="n">
        <v>4</v>
      </c>
      <c r="AJ78" t="n">
        <v>0</v>
      </c>
      <c r="AK78" t="n">
        <v>0</v>
      </c>
      <c r="AL78" t="n">
        <v>0</v>
      </c>
      <c r="AM78" t="n">
        <v>1</v>
      </c>
      <c r="AN78" t="n">
        <v>2</v>
      </c>
      <c r="AO78" t="n">
        <v>3</v>
      </c>
      <c r="AP78" t="n">
        <v>0</v>
      </c>
      <c r="AQ78" t="n">
        <v>0</v>
      </c>
      <c r="AR78" t="inlineStr">
        <is>
          <t>No</t>
        </is>
      </c>
      <c r="AS78" t="inlineStr">
        <is>
          <t>Yes</t>
        </is>
      </c>
      <c r="AT78">
        <f>HYPERLINK("http://catalog.hathitrust.org/Record/003101963","HathiTrust Record")</f>
        <v/>
      </c>
      <c r="AU78">
        <f>HYPERLINK("https://creighton-primo.hosted.exlibrisgroup.com/primo-explore/search?tab=default_tab&amp;search_scope=EVERYTHING&amp;vid=01CRU&amp;lang=en_US&amp;offset=0&amp;query=any,contains,991001564449702656","Catalog Record")</f>
        <v/>
      </c>
      <c r="AV78">
        <f>HYPERLINK("http://www.worldcat.org/oclc/33105343","WorldCat Record")</f>
        <v/>
      </c>
      <c r="AW78" t="inlineStr">
        <is>
          <t>10194127487:eng</t>
        </is>
      </c>
      <c r="AX78" t="inlineStr">
        <is>
          <t>33105343</t>
        </is>
      </c>
      <c r="AY78" t="inlineStr">
        <is>
          <t>991001564449702656</t>
        </is>
      </c>
      <c r="AZ78" t="inlineStr">
        <is>
          <t>991001564449702656</t>
        </is>
      </c>
      <c r="BA78" t="inlineStr">
        <is>
          <t>2263247440002656</t>
        </is>
      </c>
      <c r="BB78" t="inlineStr">
        <is>
          <t>BOOK</t>
        </is>
      </c>
      <c r="BD78" t="inlineStr">
        <is>
          <t>9780683090550</t>
        </is>
      </c>
      <c r="BE78" t="inlineStr">
        <is>
          <t>30001004063832</t>
        </is>
      </c>
      <c r="BF78" t="inlineStr">
        <is>
          <t>893121641</t>
        </is>
      </c>
    </row>
    <row r="79">
      <c r="A79" t="inlineStr">
        <is>
          <t>No</t>
        </is>
      </c>
      <c r="B79" t="inlineStr">
        <is>
          <t>CUHSL</t>
        </is>
      </c>
      <c r="C79" t="inlineStr">
        <is>
          <t>SHELVES</t>
        </is>
      </c>
      <c r="D79" t="inlineStr">
        <is>
          <t>W 16 P576 1997</t>
        </is>
      </c>
      <c r="E79" t="inlineStr">
        <is>
          <t>0                      W  0016000P  576         1997</t>
        </is>
      </c>
      <c r="F79" t="inlineStr">
        <is>
          <t>Physician assistants : statistics and trends, 1991-1996.</t>
        </is>
      </c>
      <c r="H79" t="inlineStr">
        <is>
          <t>No</t>
        </is>
      </c>
      <c r="I79" t="inlineStr">
        <is>
          <t>1</t>
        </is>
      </c>
      <c r="J79" t="inlineStr">
        <is>
          <t>No</t>
        </is>
      </c>
      <c r="K79" t="inlineStr">
        <is>
          <t>No</t>
        </is>
      </c>
      <c r="L79" t="inlineStr">
        <is>
          <t>0</t>
        </is>
      </c>
      <c r="N79" t="inlineStr">
        <is>
          <t>Alexandria, VA (950 N. Washington St., Alexandria 22314-1552) : American Academy of Physician Assistants, c1997.</t>
        </is>
      </c>
      <c r="O79" t="inlineStr">
        <is>
          <t>1997</t>
        </is>
      </c>
      <c r="Q79" t="inlineStr">
        <is>
          <t>eng</t>
        </is>
      </c>
      <c r="R79" t="inlineStr">
        <is>
          <t>vau</t>
        </is>
      </c>
      <c r="T79" t="inlineStr">
        <is>
          <t xml:space="preserve">W  </t>
        </is>
      </c>
      <c r="U79" t="n">
        <v>3</v>
      </c>
      <c r="V79" t="n">
        <v>3</v>
      </c>
      <c r="W79" t="inlineStr">
        <is>
          <t>2003-02-04</t>
        </is>
      </c>
      <c r="X79" t="inlineStr">
        <is>
          <t>2003-02-04</t>
        </is>
      </c>
      <c r="Y79" t="inlineStr">
        <is>
          <t>2002-07-02</t>
        </is>
      </c>
      <c r="Z79" t="inlineStr">
        <is>
          <t>2002-07-02</t>
        </is>
      </c>
      <c r="AA79" t="n">
        <v>85</v>
      </c>
      <c r="AB79" t="n">
        <v>85</v>
      </c>
      <c r="AC79" t="n">
        <v>96</v>
      </c>
      <c r="AD79" t="n">
        <v>1</v>
      </c>
      <c r="AE79" t="n">
        <v>1</v>
      </c>
      <c r="AF79" t="n">
        <v>2</v>
      </c>
      <c r="AG79" t="n">
        <v>3</v>
      </c>
      <c r="AH79" t="n">
        <v>0</v>
      </c>
      <c r="AI79" t="n">
        <v>0</v>
      </c>
      <c r="AJ79" t="n">
        <v>0</v>
      </c>
      <c r="AK79" t="n">
        <v>1</v>
      </c>
      <c r="AL79" t="n">
        <v>2</v>
      </c>
      <c r="AM79" t="n">
        <v>3</v>
      </c>
      <c r="AN79" t="n">
        <v>0</v>
      </c>
      <c r="AO79" t="n">
        <v>0</v>
      </c>
      <c r="AP79" t="n">
        <v>0</v>
      </c>
      <c r="AQ79" t="n">
        <v>0</v>
      </c>
      <c r="AR79" t="inlineStr">
        <is>
          <t>No</t>
        </is>
      </c>
      <c r="AS79" t="inlineStr">
        <is>
          <t>Yes</t>
        </is>
      </c>
      <c r="AT79">
        <f>HYPERLINK("http://catalog.hathitrust.org/Record/003291880","HathiTrust Record")</f>
        <v/>
      </c>
      <c r="AU79">
        <f>HYPERLINK("https://creighton-primo.hosted.exlibrisgroup.com/primo-explore/search?tab=default_tab&amp;search_scope=EVERYTHING&amp;vid=01CRU&amp;lang=en_US&amp;offset=0&amp;query=any,contains,991000322809702656","Catalog Record")</f>
        <v/>
      </c>
      <c r="AV79">
        <f>HYPERLINK("http://www.worldcat.org/oclc/38869383","WorldCat Record")</f>
        <v/>
      </c>
      <c r="AW79" t="inlineStr">
        <is>
          <t>41855424:eng</t>
        </is>
      </c>
      <c r="AX79" t="inlineStr">
        <is>
          <t>38869383</t>
        </is>
      </c>
      <c r="AY79" t="inlineStr">
        <is>
          <t>991000322809702656</t>
        </is>
      </c>
      <c r="AZ79" t="inlineStr">
        <is>
          <t>991000322809702656</t>
        </is>
      </c>
      <c r="BA79" t="inlineStr">
        <is>
          <t>2271842800002656</t>
        </is>
      </c>
      <c r="BB79" t="inlineStr">
        <is>
          <t>BOOK</t>
        </is>
      </c>
      <c r="BE79" t="inlineStr">
        <is>
          <t>30001004444164</t>
        </is>
      </c>
      <c r="BF79" t="inlineStr">
        <is>
          <t>893136740</t>
        </is>
      </c>
    </row>
    <row r="80">
      <c r="A80" t="inlineStr">
        <is>
          <t>No</t>
        </is>
      </c>
      <c r="B80" t="inlineStr">
        <is>
          <t>CUHSL</t>
        </is>
      </c>
      <c r="C80" t="inlineStr">
        <is>
          <t>SHELVES</t>
        </is>
      </c>
      <c r="D80" t="inlineStr">
        <is>
          <t>W 16 S678 1994</t>
        </is>
      </c>
      <c r="E80" t="inlineStr">
        <is>
          <t>0                      W  0016000S  678         1994</t>
        </is>
      </c>
      <c r="F80" t="inlineStr">
        <is>
          <t>Socioeconomic characteristics of medical practice, 1994 / edited by Martin L. Gonzalez.</t>
        </is>
      </c>
      <c r="H80" t="inlineStr">
        <is>
          <t>No</t>
        </is>
      </c>
      <c r="I80" t="inlineStr">
        <is>
          <t>1</t>
        </is>
      </c>
      <c r="J80" t="inlineStr">
        <is>
          <t>No</t>
        </is>
      </c>
      <c r="K80" t="inlineStr">
        <is>
          <t>No</t>
        </is>
      </c>
      <c r="L80" t="inlineStr">
        <is>
          <t>0</t>
        </is>
      </c>
      <c r="N80" t="inlineStr">
        <is>
          <t>Chicago, Ill. : Center for Health Policy Research, American Medical Association, c1994.</t>
        </is>
      </c>
      <c r="O80" t="inlineStr">
        <is>
          <t>1994</t>
        </is>
      </c>
      <c r="Q80" t="inlineStr">
        <is>
          <t>eng</t>
        </is>
      </c>
      <c r="R80" t="inlineStr">
        <is>
          <t>ilu</t>
        </is>
      </c>
      <c r="T80" t="inlineStr">
        <is>
          <t xml:space="preserve">W  </t>
        </is>
      </c>
      <c r="U80" t="n">
        <v>4</v>
      </c>
      <c r="V80" t="n">
        <v>4</v>
      </c>
      <c r="W80" t="inlineStr">
        <is>
          <t>1994-08-31</t>
        </is>
      </c>
      <c r="X80" t="inlineStr">
        <is>
          <t>1994-08-31</t>
        </is>
      </c>
      <c r="Y80" t="inlineStr">
        <is>
          <t>1994-08-25</t>
        </is>
      </c>
      <c r="Z80" t="inlineStr">
        <is>
          <t>1994-08-25</t>
        </is>
      </c>
      <c r="AA80" t="n">
        <v>28</v>
      </c>
      <c r="AB80" t="n">
        <v>28</v>
      </c>
      <c r="AC80" t="n">
        <v>28</v>
      </c>
      <c r="AD80" t="n">
        <v>1</v>
      </c>
      <c r="AE80" t="n">
        <v>1</v>
      </c>
      <c r="AF80" t="n">
        <v>0</v>
      </c>
      <c r="AG80" t="n">
        <v>0</v>
      </c>
      <c r="AH80" t="n">
        <v>0</v>
      </c>
      <c r="AI80" t="n">
        <v>0</v>
      </c>
      <c r="AJ80" t="n">
        <v>0</v>
      </c>
      <c r="AK80" t="n">
        <v>0</v>
      </c>
      <c r="AL80" t="n">
        <v>0</v>
      </c>
      <c r="AM80" t="n">
        <v>0</v>
      </c>
      <c r="AN80" t="n">
        <v>0</v>
      </c>
      <c r="AO80" t="n">
        <v>0</v>
      </c>
      <c r="AP80" t="n">
        <v>0</v>
      </c>
      <c r="AQ80" t="n">
        <v>0</v>
      </c>
      <c r="AR80" t="inlineStr">
        <is>
          <t>No</t>
        </is>
      </c>
      <c r="AS80" t="inlineStr">
        <is>
          <t>No</t>
        </is>
      </c>
      <c r="AU80">
        <f>HYPERLINK("https://creighton-primo.hosted.exlibrisgroup.com/primo-explore/search?tab=default_tab&amp;search_scope=EVERYTHING&amp;vid=01CRU&amp;lang=en_US&amp;offset=0&amp;query=any,contains,991001233329702656","Catalog Record")</f>
        <v/>
      </c>
      <c r="AV80">
        <f>HYPERLINK("http://www.worldcat.org/oclc/30369144","WorldCat Record")</f>
        <v/>
      </c>
      <c r="AW80" t="inlineStr">
        <is>
          <t>32290225:eng</t>
        </is>
      </c>
      <c r="AX80" t="inlineStr">
        <is>
          <t>30369144</t>
        </is>
      </c>
      <c r="AY80" t="inlineStr">
        <is>
          <t>991001233329702656</t>
        </is>
      </c>
      <c r="AZ80" t="inlineStr">
        <is>
          <t>991001233329702656</t>
        </is>
      </c>
      <c r="BA80" t="inlineStr">
        <is>
          <t>2261763510002656</t>
        </is>
      </c>
      <c r="BB80" t="inlineStr">
        <is>
          <t>BOOK</t>
        </is>
      </c>
      <c r="BD80" t="inlineStr">
        <is>
          <t>9780899706092</t>
        </is>
      </c>
      <c r="BE80" t="inlineStr">
        <is>
          <t>30001003007186</t>
        </is>
      </c>
      <c r="BF80" t="inlineStr">
        <is>
          <t>893816229</t>
        </is>
      </c>
    </row>
    <row r="81">
      <c r="A81" t="inlineStr">
        <is>
          <t>No</t>
        </is>
      </c>
      <c r="B81" t="inlineStr">
        <is>
          <t>CUHSL</t>
        </is>
      </c>
      <c r="C81" t="inlineStr">
        <is>
          <t>SHELVES</t>
        </is>
      </c>
      <c r="D81" t="inlineStr">
        <is>
          <t>W 18 A152m 1987</t>
        </is>
      </c>
      <c r="E81" t="inlineStr">
        <is>
          <t>0                      W  0018000A  152m        1987</t>
        </is>
      </c>
      <c r="F81" t="inlineStr">
        <is>
          <t>Medical school : getting in, staying in, staying human / Keith R. Ablow.</t>
        </is>
      </c>
      <c r="H81" t="inlineStr">
        <is>
          <t>No</t>
        </is>
      </c>
      <c r="I81" t="inlineStr">
        <is>
          <t>1</t>
        </is>
      </c>
      <c r="J81" t="inlineStr">
        <is>
          <t>No</t>
        </is>
      </c>
      <c r="K81" t="inlineStr">
        <is>
          <t>No</t>
        </is>
      </c>
      <c r="L81" t="inlineStr">
        <is>
          <t>0</t>
        </is>
      </c>
      <c r="M81" t="inlineStr">
        <is>
          <t>Ablow, Keith R.</t>
        </is>
      </c>
      <c r="N81" t="inlineStr">
        <is>
          <t>Baltimore : Williams &amp; Wilkins, c1987.</t>
        </is>
      </c>
      <c r="O81" t="inlineStr">
        <is>
          <t>1987</t>
        </is>
      </c>
      <c r="Q81" t="inlineStr">
        <is>
          <t>eng</t>
        </is>
      </c>
      <c r="R81" t="inlineStr">
        <is>
          <t>xxu</t>
        </is>
      </c>
      <c r="T81" t="inlineStr">
        <is>
          <t xml:space="preserve">W  </t>
        </is>
      </c>
      <c r="U81" t="n">
        <v>26</v>
      </c>
      <c r="V81" t="n">
        <v>26</v>
      </c>
      <c r="W81" t="inlineStr">
        <is>
          <t>1995-08-21</t>
        </is>
      </c>
      <c r="X81" t="inlineStr">
        <is>
          <t>1995-08-21</t>
        </is>
      </c>
      <c r="Y81" t="inlineStr">
        <is>
          <t>1987-12-30</t>
        </is>
      </c>
      <c r="Z81" t="inlineStr">
        <is>
          <t>1987-12-30</t>
        </is>
      </c>
      <c r="AA81" t="n">
        <v>153</v>
      </c>
      <c r="AB81" t="n">
        <v>138</v>
      </c>
      <c r="AC81" t="n">
        <v>275</v>
      </c>
      <c r="AD81" t="n">
        <v>1</v>
      </c>
      <c r="AE81" t="n">
        <v>1</v>
      </c>
      <c r="AF81" t="n">
        <v>5</v>
      </c>
      <c r="AG81" t="n">
        <v>8</v>
      </c>
      <c r="AH81" t="n">
        <v>2</v>
      </c>
      <c r="AI81" t="n">
        <v>2</v>
      </c>
      <c r="AJ81" t="n">
        <v>3</v>
      </c>
      <c r="AK81" t="n">
        <v>5</v>
      </c>
      <c r="AL81" t="n">
        <v>3</v>
      </c>
      <c r="AM81" t="n">
        <v>4</v>
      </c>
      <c r="AN81" t="n">
        <v>0</v>
      </c>
      <c r="AO81" t="n">
        <v>0</v>
      </c>
      <c r="AP81" t="n">
        <v>0</v>
      </c>
      <c r="AQ81" t="n">
        <v>0</v>
      </c>
      <c r="AR81" t="inlineStr">
        <is>
          <t>No</t>
        </is>
      </c>
      <c r="AS81" t="inlineStr">
        <is>
          <t>No</t>
        </is>
      </c>
      <c r="AU81">
        <f>HYPERLINK("https://creighton-primo.hosted.exlibrisgroup.com/primo-explore/search?tab=default_tab&amp;search_scope=EVERYTHING&amp;vid=01CRU&amp;lang=en_US&amp;offset=0&amp;query=any,contains,991001167589702656","Catalog Record")</f>
        <v/>
      </c>
      <c r="AV81">
        <f>HYPERLINK("http://www.worldcat.org/oclc/13794028","WorldCat Record")</f>
        <v/>
      </c>
      <c r="AW81" t="inlineStr">
        <is>
          <t>7900912:eng</t>
        </is>
      </c>
      <c r="AX81" t="inlineStr">
        <is>
          <t>13794028</t>
        </is>
      </c>
      <c r="AY81" t="inlineStr">
        <is>
          <t>991001167589702656</t>
        </is>
      </c>
      <c r="AZ81" t="inlineStr">
        <is>
          <t>991001167589702656</t>
        </is>
      </c>
      <c r="BA81" t="inlineStr">
        <is>
          <t>2270120250002656</t>
        </is>
      </c>
      <c r="BB81" t="inlineStr">
        <is>
          <t>BOOK</t>
        </is>
      </c>
      <c r="BD81" t="inlineStr">
        <is>
          <t>9780683000047</t>
        </is>
      </c>
      <c r="BE81" t="inlineStr">
        <is>
          <t>30001000305559</t>
        </is>
      </c>
      <c r="BF81" t="inlineStr">
        <is>
          <t>893831958</t>
        </is>
      </c>
    </row>
    <row r="82">
      <c r="A82" t="inlineStr">
        <is>
          <t>No</t>
        </is>
      </c>
      <c r="B82" t="inlineStr">
        <is>
          <t>CUHSL</t>
        </is>
      </c>
      <c r="C82" t="inlineStr">
        <is>
          <t>SHELVES</t>
        </is>
      </c>
      <c r="D82" t="inlineStr">
        <is>
          <t>W 18 A649 1990</t>
        </is>
      </c>
      <c r="E82" t="inlineStr">
        <is>
          <t>0                      W  0018000A  649         1990</t>
        </is>
      </c>
      <c r="F82" t="inlineStr">
        <is>
          <t>Appleton &amp; Lange's review for FLEX / [edited by] Mark Schultz.</t>
        </is>
      </c>
      <c r="H82" t="inlineStr">
        <is>
          <t>No</t>
        </is>
      </c>
      <c r="I82" t="inlineStr">
        <is>
          <t>1</t>
        </is>
      </c>
      <c r="J82" t="inlineStr">
        <is>
          <t>No</t>
        </is>
      </c>
      <c r="K82" t="inlineStr">
        <is>
          <t>No</t>
        </is>
      </c>
      <c r="L82" t="inlineStr">
        <is>
          <t>0</t>
        </is>
      </c>
      <c r="N82" t="inlineStr">
        <is>
          <t>Norwalk, Conn. : Appleton &amp; Lange, c1990.</t>
        </is>
      </c>
      <c r="O82" t="inlineStr">
        <is>
          <t>1990</t>
        </is>
      </c>
      <c r="P82" t="inlineStr">
        <is>
          <t>2nd ed.</t>
        </is>
      </c>
      <c r="Q82" t="inlineStr">
        <is>
          <t>eng</t>
        </is>
      </c>
      <c r="R82" t="inlineStr">
        <is>
          <t>xxu</t>
        </is>
      </c>
      <c r="T82" t="inlineStr">
        <is>
          <t xml:space="preserve">W  </t>
        </is>
      </c>
      <c r="U82" t="n">
        <v>20</v>
      </c>
      <c r="V82" t="n">
        <v>20</v>
      </c>
      <c r="W82" t="inlineStr">
        <is>
          <t>1994-10-20</t>
        </is>
      </c>
      <c r="X82" t="inlineStr">
        <is>
          <t>1994-10-20</t>
        </is>
      </c>
      <c r="Y82" t="inlineStr">
        <is>
          <t>1990-01-23</t>
        </is>
      </c>
      <c r="Z82" t="inlineStr">
        <is>
          <t>1990-01-23</t>
        </is>
      </c>
      <c r="AA82" t="n">
        <v>54</v>
      </c>
      <c r="AB82" t="n">
        <v>48</v>
      </c>
      <c r="AC82" t="n">
        <v>50</v>
      </c>
      <c r="AD82" t="n">
        <v>1</v>
      </c>
      <c r="AE82" t="n">
        <v>1</v>
      </c>
      <c r="AF82" t="n">
        <v>1</v>
      </c>
      <c r="AG82" t="n">
        <v>1</v>
      </c>
      <c r="AH82" t="n">
        <v>0</v>
      </c>
      <c r="AI82" t="n">
        <v>0</v>
      </c>
      <c r="AJ82" t="n">
        <v>0</v>
      </c>
      <c r="AK82" t="n">
        <v>0</v>
      </c>
      <c r="AL82" t="n">
        <v>1</v>
      </c>
      <c r="AM82" t="n">
        <v>1</v>
      </c>
      <c r="AN82" t="n">
        <v>0</v>
      </c>
      <c r="AO82" t="n">
        <v>0</v>
      </c>
      <c r="AP82" t="n">
        <v>0</v>
      </c>
      <c r="AQ82" t="n">
        <v>0</v>
      </c>
      <c r="AR82" t="inlineStr">
        <is>
          <t>No</t>
        </is>
      </c>
      <c r="AS82" t="inlineStr">
        <is>
          <t>Yes</t>
        </is>
      </c>
      <c r="AT82">
        <f>HYPERLINK("http://catalog.hathitrust.org/Record/010376711","HathiTrust Record")</f>
        <v/>
      </c>
      <c r="AU82">
        <f>HYPERLINK("https://creighton-primo.hosted.exlibrisgroup.com/primo-explore/search?tab=default_tab&amp;search_scope=EVERYTHING&amp;vid=01CRU&amp;lang=en_US&amp;offset=0&amp;query=any,contains,991001386839702656","Catalog Record")</f>
        <v/>
      </c>
      <c r="AV82">
        <f>HYPERLINK("http://www.worldcat.org/oclc/19847921","WorldCat Record")</f>
        <v/>
      </c>
      <c r="AW82" t="inlineStr">
        <is>
          <t>21944410:eng</t>
        </is>
      </c>
      <c r="AX82" t="inlineStr">
        <is>
          <t>19847921</t>
        </is>
      </c>
      <c r="AY82" t="inlineStr">
        <is>
          <t>991001386839702656</t>
        </is>
      </c>
      <c r="AZ82" t="inlineStr">
        <is>
          <t>991001386839702656</t>
        </is>
      </c>
      <c r="BA82" t="inlineStr">
        <is>
          <t>2269381120002656</t>
        </is>
      </c>
      <c r="BB82" t="inlineStr">
        <is>
          <t>BOOK</t>
        </is>
      </c>
      <c r="BD82" t="inlineStr">
        <is>
          <t>9780838502211</t>
        </is>
      </c>
      <c r="BE82" t="inlineStr">
        <is>
          <t>30001001799941</t>
        </is>
      </c>
      <c r="BF82" t="inlineStr">
        <is>
          <t>893161929</t>
        </is>
      </c>
    </row>
    <row r="83">
      <c r="A83" t="inlineStr">
        <is>
          <t>No</t>
        </is>
      </c>
      <c r="B83" t="inlineStr">
        <is>
          <t>CUHSL</t>
        </is>
      </c>
      <c r="C83" t="inlineStr">
        <is>
          <t>SHELVES</t>
        </is>
      </c>
      <c r="D83" t="inlineStr">
        <is>
          <t>W 18 B168m 1991</t>
        </is>
      </c>
      <c r="E83" t="inlineStr">
        <is>
          <t>0                      W  0018000B  168m        1991</t>
        </is>
      </c>
      <c r="F83" t="inlineStr">
        <is>
          <t>Medicine : 700 questions and answers / Michael A. Baker.</t>
        </is>
      </c>
      <c r="H83" t="inlineStr">
        <is>
          <t>No</t>
        </is>
      </c>
      <c r="I83" t="inlineStr">
        <is>
          <t>1</t>
        </is>
      </c>
      <c r="J83" t="inlineStr">
        <is>
          <t>No</t>
        </is>
      </c>
      <c r="K83" t="inlineStr">
        <is>
          <t>No</t>
        </is>
      </c>
      <c r="L83" t="inlineStr">
        <is>
          <t>0</t>
        </is>
      </c>
      <c r="M83" t="inlineStr">
        <is>
          <t>Baker, Michael A., 1943-</t>
        </is>
      </c>
      <c r="N83" t="inlineStr">
        <is>
          <t>New York, N.Y. : Medical Examination Pub. Co., c1991.</t>
        </is>
      </c>
      <c r="O83" t="inlineStr">
        <is>
          <t>1991</t>
        </is>
      </c>
      <c r="P83" t="inlineStr">
        <is>
          <t>10th ed.</t>
        </is>
      </c>
      <c r="Q83" t="inlineStr">
        <is>
          <t>eng</t>
        </is>
      </c>
      <c r="R83" t="inlineStr">
        <is>
          <t>nyu</t>
        </is>
      </c>
      <c r="S83" t="inlineStr">
        <is>
          <t>Medical examination review</t>
        </is>
      </c>
      <c r="T83" t="inlineStr">
        <is>
          <t xml:space="preserve">W  </t>
        </is>
      </c>
      <c r="U83" t="n">
        <v>32</v>
      </c>
      <c r="V83" t="n">
        <v>32</v>
      </c>
      <c r="W83" t="inlineStr">
        <is>
          <t>2000-04-26</t>
        </is>
      </c>
      <c r="X83" t="inlineStr">
        <is>
          <t>2000-04-26</t>
        </is>
      </c>
      <c r="Y83" t="inlineStr">
        <is>
          <t>1991-11-22</t>
        </is>
      </c>
      <c r="Z83" t="inlineStr">
        <is>
          <t>1991-11-22</t>
        </is>
      </c>
      <c r="AA83" t="n">
        <v>62</v>
      </c>
      <c r="AB83" t="n">
        <v>39</v>
      </c>
      <c r="AC83" t="n">
        <v>39</v>
      </c>
      <c r="AD83" t="n">
        <v>1</v>
      </c>
      <c r="AE83" t="n">
        <v>1</v>
      </c>
      <c r="AF83" t="n">
        <v>0</v>
      </c>
      <c r="AG83" t="n">
        <v>0</v>
      </c>
      <c r="AH83" t="n">
        <v>0</v>
      </c>
      <c r="AI83" t="n">
        <v>0</v>
      </c>
      <c r="AJ83" t="n">
        <v>0</v>
      </c>
      <c r="AK83" t="n">
        <v>0</v>
      </c>
      <c r="AL83" t="n">
        <v>0</v>
      </c>
      <c r="AM83" t="n">
        <v>0</v>
      </c>
      <c r="AN83" t="n">
        <v>0</v>
      </c>
      <c r="AO83" t="n">
        <v>0</v>
      </c>
      <c r="AP83" t="n">
        <v>0</v>
      </c>
      <c r="AQ83" t="n">
        <v>0</v>
      </c>
      <c r="AR83" t="inlineStr">
        <is>
          <t>No</t>
        </is>
      </c>
      <c r="AS83" t="inlineStr">
        <is>
          <t>No</t>
        </is>
      </c>
      <c r="AU83">
        <f>HYPERLINK("https://creighton-primo.hosted.exlibrisgroup.com/primo-explore/search?tab=default_tab&amp;search_scope=EVERYTHING&amp;vid=01CRU&amp;lang=en_US&amp;offset=0&amp;query=any,contains,991001023359702656","Catalog Record")</f>
        <v/>
      </c>
      <c r="AV83">
        <f>HYPERLINK("http://www.worldcat.org/oclc/24441995","WorldCat Record")</f>
        <v/>
      </c>
      <c r="AW83" t="inlineStr">
        <is>
          <t>292418237:eng</t>
        </is>
      </c>
      <c r="AX83" t="inlineStr">
        <is>
          <t>24441995</t>
        </is>
      </c>
      <c r="AY83" t="inlineStr">
        <is>
          <t>991001023359702656</t>
        </is>
      </c>
      <c r="AZ83" t="inlineStr">
        <is>
          <t>991001023359702656</t>
        </is>
      </c>
      <c r="BA83" t="inlineStr">
        <is>
          <t>2270662840002656</t>
        </is>
      </c>
      <c r="BB83" t="inlineStr">
        <is>
          <t>BOOK</t>
        </is>
      </c>
      <c r="BD83" t="inlineStr">
        <is>
          <t>9780444016287</t>
        </is>
      </c>
      <c r="BE83" t="inlineStr">
        <is>
          <t>30001002242248</t>
        </is>
      </c>
      <c r="BF83" t="inlineStr">
        <is>
          <t>893284326</t>
        </is>
      </c>
    </row>
    <row r="84">
      <c r="A84" t="inlineStr">
        <is>
          <t>No</t>
        </is>
      </c>
      <c r="B84" t="inlineStr">
        <is>
          <t>CUHSL</t>
        </is>
      </c>
      <c r="C84" t="inlineStr">
        <is>
          <t>SHELVES</t>
        </is>
      </c>
      <c r="D84" t="inlineStr">
        <is>
          <t>W 18 B278p 1980</t>
        </is>
      </c>
      <c r="E84" t="inlineStr">
        <is>
          <t>0                      W  0018000B  278p        1980</t>
        </is>
      </c>
      <c r="F84" t="inlineStr">
        <is>
          <t>Problem-based learning : an approach to medical education / Howard S. Barrows, Robyn M. Tamblyn.</t>
        </is>
      </c>
      <c r="H84" t="inlineStr">
        <is>
          <t>No</t>
        </is>
      </c>
      <c r="I84" t="inlineStr">
        <is>
          <t>1</t>
        </is>
      </c>
      <c r="J84" t="inlineStr">
        <is>
          <t>No</t>
        </is>
      </c>
      <c r="K84" t="inlineStr">
        <is>
          <t>No</t>
        </is>
      </c>
      <c r="L84" t="inlineStr">
        <is>
          <t>1</t>
        </is>
      </c>
      <c r="M84" t="inlineStr">
        <is>
          <t>Barrows, Howard S., 1928-</t>
        </is>
      </c>
      <c r="N84" t="inlineStr">
        <is>
          <t>New York : Springer Pub. Co., c1980.</t>
        </is>
      </c>
      <c r="O84" t="inlineStr">
        <is>
          <t>1980</t>
        </is>
      </c>
      <c r="Q84" t="inlineStr">
        <is>
          <t>eng</t>
        </is>
      </c>
      <c r="R84" t="inlineStr">
        <is>
          <t>nyu</t>
        </is>
      </c>
      <c r="S84" t="inlineStr">
        <is>
          <t>Springer series on medical education ; v. 1</t>
        </is>
      </c>
      <c r="T84" t="inlineStr">
        <is>
          <t xml:space="preserve">W  </t>
        </is>
      </c>
      <c r="U84" t="n">
        <v>20</v>
      </c>
      <c r="V84" t="n">
        <v>20</v>
      </c>
      <c r="W84" t="inlineStr">
        <is>
          <t>2007-12-20</t>
        </is>
      </c>
      <c r="X84" t="inlineStr">
        <is>
          <t>2007-12-20</t>
        </is>
      </c>
      <c r="Y84" t="inlineStr">
        <is>
          <t>1987-10-07</t>
        </is>
      </c>
      <c r="Z84" t="inlineStr">
        <is>
          <t>1987-10-07</t>
        </is>
      </c>
      <c r="AA84" t="n">
        <v>305</v>
      </c>
      <c r="AB84" t="n">
        <v>211</v>
      </c>
      <c r="AC84" t="n">
        <v>1150</v>
      </c>
      <c r="AD84" t="n">
        <v>1</v>
      </c>
      <c r="AE84" t="n">
        <v>14</v>
      </c>
      <c r="AF84" t="n">
        <v>8</v>
      </c>
      <c r="AG84" t="n">
        <v>46</v>
      </c>
      <c r="AH84" t="n">
        <v>2</v>
      </c>
      <c r="AI84" t="n">
        <v>13</v>
      </c>
      <c r="AJ84" t="n">
        <v>2</v>
      </c>
      <c r="AK84" t="n">
        <v>10</v>
      </c>
      <c r="AL84" t="n">
        <v>5</v>
      </c>
      <c r="AM84" t="n">
        <v>15</v>
      </c>
      <c r="AN84" t="n">
        <v>0</v>
      </c>
      <c r="AO84" t="n">
        <v>12</v>
      </c>
      <c r="AP84" t="n">
        <v>1</v>
      </c>
      <c r="AQ84" t="n">
        <v>3</v>
      </c>
      <c r="AR84" t="inlineStr">
        <is>
          <t>No</t>
        </is>
      </c>
      <c r="AS84" t="inlineStr">
        <is>
          <t>No</t>
        </is>
      </c>
      <c r="AU84">
        <f>HYPERLINK("https://creighton-primo.hosted.exlibrisgroup.com/primo-explore/search?tab=default_tab&amp;search_scope=EVERYTHING&amp;vid=01CRU&amp;lang=en_US&amp;offset=0&amp;query=any,contains,991001167509702656","Catalog Record")</f>
        <v/>
      </c>
      <c r="AV84">
        <f>HYPERLINK("http://www.worldcat.org/oclc/6195735","WorldCat Record")</f>
        <v/>
      </c>
      <c r="AW84" t="inlineStr">
        <is>
          <t>802793380:eng</t>
        </is>
      </c>
      <c r="AX84" t="inlineStr">
        <is>
          <t>6195735</t>
        </is>
      </c>
      <c r="AY84" t="inlineStr">
        <is>
          <t>991001167509702656</t>
        </is>
      </c>
      <c r="AZ84" t="inlineStr">
        <is>
          <t>991001167509702656</t>
        </is>
      </c>
      <c r="BA84" t="inlineStr">
        <is>
          <t>2265721090002656</t>
        </is>
      </c>
      <c r="BB84" t="inlineStr">
        <is>
          <t>BOOK</t>
        </is>
      </c>
      <c r="BD84" t="inlineStr">
        <is>
          <t>9780826128409</t>
        </is>
      </c>
      <c r="BE84" t="inlineStr">
        <is>
          <t>30001000305518</t>
        </is>
      </c>
      <c r="BF84" t="inlineStr">
        <is>
          <t>893278817</t>
        </is>
      </c>
    </row>
    <row r="85">
      <c r="A85" t="inlineStr">
        <is>
          <t>No</t>
        </is>
      </c>
      <c r="B85" t="inlineStr">
        <is>
          <t>CUHSL</t>
        </is>
      </c>
      <c r="C85" t="inlineStr">
        <is>
          <t>SHELVES</t>
        </is>
      </c>
      <c r="D85" t="inlineStr">
        <is>
          <t>W 18 B395b 1961</t>
        </is>
      </c>
      <c r="E85" t="inlineStr">
        <is>
          <t>0                      W  0018000B  395b        1961</t>
        </is>
      </c>
      <c r="F85" t="inlineStr">
        <is>
          <t>Boys in white : student culture in medical school / Howard S. Becker [et al.]</t>
        </is>
      </c>
      <c r="H85" t="inlineStr">
        <is>
          <t>No</t>
        </is>
      </c>
      <c r="I85" t="inlineStr">
        <is>
          <t>1</t>
        </is>
      </c>
      <c r="J85" t="inlineStr">
        <is>
          <t>No</t>
        </is>
      </c>
      <c r="K85" t="inlineStr">
        <is>
          <t>Yes</t>
        </is>
      </c>
      <c r="L85" t="inlineStr">
        <is>
          <t>0</t>
        </is>
      </c>
      <c r="M85" t="inlineStr">
        <is>
          <t>Becker, Howard Saul, 1928-</t>
        </is>
      </c>
      <c r="N85" t="inlineStr">
        <is>
          <t>Chicago : Univ. of Chicago Press, [1961]</t>
        </is>
      </c>
      <c r="O85" t="inlineStr">
        <is>
          <t>1961</t>
        </is>
      </c>
      <c r="Q85" t="inlineStr">
        <is>
          <t>eng</t>
        </is>
      </c>
      <c r="R85" t="inlineStr">
        <is>
          <t>ilu</t>
        </is>
      </c>
      <c r="T85" t="inlineStr">
        <is>
          <t xml:space="preserve">W  </t>
        </is>
      </c>
      <c r="U85" t="n">
        <v>5</v>
      </c>
      <c r="V85" t="n">
        <v>5</v>
      </c>
      <c r="W85" t="inlineStr">
        <is>
          <t>1992-11-12</t>
        </is>
      </c>
      <c r="X85" t="inlineStr">
        <is>
          <t>1992-11-12</t>
        </is>
      </c>
      <c r="Y85" t="inlineStr">
        <is>
          <t>1989-12-12</t>
        </is>
      </c>
      <c r="Z85" t="inlineStr">
        <is>
          <t>1989-12-12</t>
        </is>
      </c>
      <c r="AA85" t="n">
        <v>470</v>
      </c>
      <c r="AB85" t="n">
        <v>386</v>
      </c>
      <c r="AC85" t="n">
        <v>537</v>
      </c>
      <c r="AD85" t="n">
        <v>3</v>
      </c>
      <c r="AE85" t="n">
        <v>4</v>
      </c>
      <c r="AF85" t="n">
        <v>16</v>
      </c>
      <c r="AG85" t="n">
        <v>28</v>
      </c>
      <c r="AH85" t="n">
        <v>5</v>
      </c>
      <c r="AI85" t="n">
        <v>13</v>
      </c>
      <c r="AJ85" t="n">
        <v>2</v>
      </c>
      <c r="AK85" t="n">
        <v>6</v>
      </c>
      <c r="AL85" t="n">
        <v>10</v>
      </c>
      <c r="AM85" t="n">
        <v>15</v>
      </c>
      <c r="AN85" t="n">
        <v>2</v>
      </c>
      <c r="AO85" t="n">
        <v>2</v>
      </c>
      <c r="AP85" t="n">
        <v>0</v>
      </c>
      <c r="AQ85" t="n">
        <v>0</v>
      </c>
      <c r="AR85" t="inlineStr">
        <is>
          <t>No</t>
        </is>
      </c>
      <c r="AS85" t="inlineStr">
        <is>
          <t>No</t>
        </is>
      </c>
      <c r="AU85">
        <f>HYPERLINK("https://creighton-primo.hosted.exlibrisgroup.com/primo-explore/search?tab=default_tab&amp;search_scope=EVERYTHING&amp;vid=01CRU&amp;lang=en_US&amp;offset=0&amp;query=any,contains,991001167479702656","Catalog Record")</f>
        <v/>
      </c>
      <c r="AV85">
        <f>HYPERLINK("http://www.worldcat.org/oclc/639447","WorldCat Record")</f>
        <v/>
      </c>
      <c r="AW85" t="inlineStr">
        <is>
          <t>836630684:eng</t>
        </is>
      </c>
      <c r="AX85" t="inlineStr">
        <is>
          <t>639447</t>
        </is>
      </c>
      <c r="AY85" t="inlineStr">
        <is>
          <t>991001167479702656</t>
        </is>
      </c>
      <c r="AZ85" t="inlineStr">
        <is>
          <t>991001167479702656</t>
        </is>
      </c>
      <c r="BA85" t="inlineStr">
        <is>
          <t>2269263110002656</t>
        </is>
      </c>
      <c r="BB85" t="inlineStr">
        <is>
          <t>BOOK</t>
        </is>
      </c>
      <c r="BE85" t="inlineStr">
        <is>
          <t>30001000305476</t>
        </is>
      </c>
      <c r="BF85" t="inlineStr">
        <is>
          <t>893546417</t>
        </is>
      </c>
    </row>
    <row r="86">
      <c r="A86" t="inlineStr">
        <is>
          <t>No</t>
        </is>
      </c>
      <c r="B86" t="inlineStr">
        <is>
          <t>CUHSL</t>
        </is>
      </c>
      <c r="C86" t="inlineStr">
        <is>
          <t>SHELVES</t>
        </is>
      </c>
      <c r="D86" t="inlineStr">
        <is>
          <t>W 18 C153m 2003</t>
        </is>
      </c>
      <c r="E86" t="inlineStr">
        <is>
          <t>0                      W  0018000C  153m        2003</t>
        </is>
      </c>
      <c r="F86" t="inlineStr">
        <is>
          <t>A Manager's guide to cultural competence education of health care professionals / prepared for the California Endowment; edited by M. Jean Gilbert.</t>
        </is>
      </c>
      <c r="H86" t="inlineStr">
        <is>
          <t>No</t>
        </is>
      </c>
      <c r="I86" t="inlineStr">
        <is>
          <t>2</t>
        </is>
      </c>
      <c r="J86" t="inlineStr">
        <is>
          <t>No</t>
        </is>
      </c>
      <c r="K86" t="inlineStr">
        <is>
          <t>No</t>
        </is>
      </c>
      <c r="L86" t="inlineStr">
        <is>
          <t>0</t>
        </is>
      </c>
      <c r="N86" t="inlineStr">
        <is>
          <t>[Woodland Hills, CA] : The Endowment, [2003]</t>
        </is>
      </c>
      <c r="O86" t="inlineStr">
        <is>
          <t>2003</t>
        </is>
      </c>
      <c r="Q86" t="inlineStr">
        <is>
          <t>eng</t>
        </is>
      </c>
      <c r="R86" t="inlineStr">
        <is>
          <t>cau</t>
        </is>
      </c>
      <c r="T86" t="inlineStr">
        <is>
          <t xml:space="preserve">W  </t>
        </is>
      </c>
      <c r="U86" t="n">
        <v>5</v>
      </c>
      <c r="V86" t="n">
        <v>5</v>
      </c>
      <c r="W86" t="inlineStr">
        <is>
          <t>2005-10-07</t>
        </is>
      </c>
      <c r="X86" t="inlineStr">
        <is>
          <t>2005-10-07</t>
        </is>
      </c>
      <c r="Y86" t="inlineStr">
        <is>
          <t>2004-09-01</t>
        </is>
      </c>
      <c r="Z86" t="inlineStr">
        <is>
          <t>2004-09-01</t>
        </is>
      </c>
      <c r="AA86" t="n">
        <v>1</v>
      </c>
      <c r="AB86" t="n">
        <v>1</v>
      </c>
      <c r="AC86" t="n">
        <v>2</v>
      </c>
      <c r="AD86" t="n">
        <v>1</v>
      </c>
      <c r="AE86" t="n">
        <v>1</v>
      </c>
      <c r="AF86" t="n">
        <v>0</v>
      </c>
      <c r="AG86" t="n">
        <v>0</v>
      </c>
      <c r="AH86" t="n">
        <v>0</v>
      </c>
      <c r="AI86" t="n">
        <v>0</v>
      </c>
      <c r="AJ86" t="n">
        <v>0</v>
      </c>
      <c r="AK86" t="n">
        <v>0</v>
      </c>
      <c r="AL86" t="n">
        <v>0</v>
      </c>
      <c r="AM86" t="n">
        <v>0</v>
      </c>
      <c r="AN86" t="n">
        <v>0</v>
      </c>
      <c r="AO86" t="n">
        <v>0</v>
      </c>
      <c r="AP86" t="n">
        <v>0</v>
      </c>
      <c r="AQ86" t="n">
        <v>0</v>
      </c>
      <c r="AR86" t="inlineStr">
        <is>
          <t>No</t>
        </is>
      </c>
      <c r="AS86" t="inlineStr">
        <is>
          <t>No</t>
        </is>
      </c>
      <c r="AU86">
        <f>HYPERLINK("https://creighton-primo.hosted.exlibrisgroup.com/primo-explore/search?tab=default_tab&amp;search_scope=EVERYTHING&amp;vid=01CRU&amp;lang=en_US&amp;offset=0&amp;query=any,contains,991000375039702656","Catalog Record")</f>
        <v/>
      </c>
      <c r="AV86">
        <f>HYPERLINK("http://www.worldcat.org/oclc/55666820","WorldCat Record")</f>
        <v/>
      </c>
      <c r="AW86" t="inlineStr">
        <is>
          <t>438189911:eng</t>
        </is>
      </c>
      <c r="AX86" t="inlineStr">
        <is>
          <t>55666820</t>
        </is>
      </c>
      <c r="AY86" t="inlineStr">
        <is>
          <t>991000375039702656</t>
        </is>
      </c>
      <c r="AZ86" t="inlineStr">
        <is>
          <t>991000375039702656</t>
        </is>
      </c>
      <c r="BA86" t="inlineStr">
        <is>
          <t>2258047590002656</t>
        </is>
      </c>
      <c r="BB86" t="inlineStr">
        <is>
          <t>BOOK</t>
        </is>
      </c>
      <c r="BE86" t="inlineStr">
        <is>
          <t>30001004840528</t>
        </is>
      </c>
      <c r="BF86" t="inlineStr">
        <is>
          <t>893633841</t>
        </is>
      </c>
    </row>
    <row r="87">
      <c r="A87" t="inlineStr">
        <is>
          <t>No</t>
        </is>
      </c>
      <c r="B87" t="inlineStr">
        <is>
          <t>CUHSL</t>
        </is>
      </c>
      <c r="C87" t="inlineStr">
        <is>
          <t>SHELVES</t>
        </is>
      </c>
      <c r="D87" t="inlineStr">
        <is>
          <t>W 18 C153p 2003</t>
        </is>
      </c>
      <c r="E87" t="inlineStr">
        <is>
          <t>0                      W  0018000C  153p        2003</t>
        </is>
      </c>
      <c r="F87" t="inlineStr">
        <is>
          <t>Principles and recommended standards for cultural competence education of health care professionals / prepared for the California Endowment; edited by M. Jean Gilbert.</t>
        </is>
      </c>
      <c r="H87" t="inlineStr">
        <is>
          <t>No</t>
        </is>
      </c>
      <c r="I87" t="inlineStr">
        <is>
          <t>2</t>
        </is>
      </c>
      <c r="J87" t="inlineStr">
        <is>
          <t>No</t>
        </is>
      </c>
      <c r="K87" t="inlineStr">
        <is>
          <t>No</t>
        </is>
      </c>
      <c r="L87" t="inlineStr">
        <is>
          <t>0</t>
        </is>
      </c>
      <c r="N87" t="inlineStr">
        <is>
          <t>[Woodland Hills, CA] : The Endowment, [2003]</t>
        </is>
      </c>
      <c r="O87" t="inlineStr">
        <is>
          <t>2003</t>
        </is>
      </c>
      <c r="Q87" t="inlineStr">
        <is>
          <t>eng</t>
        </is>
      </c>
      <c r="R87" t="inlineStr">
        <is>
          <t>cau</t>
        </is>
      </c>
      <c r="T87" t="inlineStr">
        <is>
          <t xml:space="preserve">W  </t>
        </is>
      </c>
      <c r="U87" t="n">
        <v>6</v>
      </c>
      <c r="V87" t="n">
        <v>6</v>
      </c>
      <c r="W87" t="inlineStr">
        <is>
          <t>2006-01-18</t>
        </is>
      </c>
      <c r="X87" t="inlineStr">
        <is>
          <t>2006-01-18</t>
        </is>
      </c>
      <c r="Y87" t="inlineStr">
        <is>
          <t>2004-09-01</t>
        </is>
      </c>
      <c r="Z87" t="inlineStr">
        <is>
          <t>2004-09-01</t>
        </is>
      </c>
      <c r="AA87" t="n">
        <v>2</v>
      </c>
      <c r="AB87" t="n">
        <v>1</v>
      </c>
      <c r="AC87" t="n">
        <v>1</v>
      </c>
      <c r="AD87" t="n">
        <v>1</v>
      </c>
      <c r="AE87" t="n">
        <v>1</v>
      </c>
      <c r="AF87" t="n">
        <v>0</v>
      </c>
      <c r="AG87" t="n">
        <v>0</v>
      </c>
      <c r="AH87" t="n">
        <v>0</v>
      </c>
      <c r="AI87" t="n">
        <v>0</v>
      </c>
      <c r="AJ87" t="n">
        <v>0</v>
      </c>
      <c r="AK87" t="n">
        <v>0</v>
      </c>
      <c r="AL87" t="n">
        <v>0</v>
      </c>
      <c r="AM87" t="n">
        <v>0</v>
      </c>
      <c r="AN87" t="n">
        <v>0</v>
      </c>
      <c r="AO87" t="n">
        <v>0</v>
      </c>
      <c r="AP87" t="n">
        <v>0</v>
      </c>
      <c r="AQ87" t="n">
        <v>0</v>
      </c>
      <c r="AR87" t="inlineStr">
        <is>
          <t>No</t>
        </is>
      </c>
      <c r="AS87" t="inlineStr">
        <is>
          <t>No</t>
        </is>
      </c>
      <c r="AU87">
        <f>HYPERLINK("https://creighton-primo.hosted.exlibrisgroup.com/primo-explore/search?tab=default_tab&amp;search_scope=EVERYTHING&amp;vid=01CRU&amp;lang=en_US&amp;offset=0&amp;query=any,contains,991000374999702656","Catalog Record")</f>
        <v/>
      </c>
      <c r="AV87">
        <f>HYPERLINK("http://www.worldcat.org/oclc/55663278","WorldCat Record")</f>
        <v/>
      </c>
      <c r="AW87" t="inlineStr">
        <is>
          <t>15664434:eng</t>
        </is>
      </c>
      <c r="AX87" t="inlineStr">
        <is>
          <t>55663278</t>
        </is>
      </c>
      <c r="AY87" t="inlineStr">
        <is>
          <t>991000374999702656</t>
        </is>
      </c>
      <c r="AZ87" t="inlineStr">
        <is>
          <t>991000374999702656</t>
        </is>
      </c>
      <c r="BA87" t="inlineStr">
        <is>
          <t>2261049980002656</t>
        </is>
      </c>
      <c r="BB87" t="inlineStr">
        <is>
          <t>BOOK</t>
        </is>
      </c>
      <c r="BE87" t="inlineStr">
        <is>
          <t>30001004840510</t>
        </is>
      </c>
      <c r="BF87" t="inlineStr">
        <is>
          <t>893109476</t>
        </is>
      </c>
    </row>
    <row r="88">
      <c r="A88" t="inlineStr">
        <is>
          <t>No</t>
        </is>
      </c>
      <c r="B88" t="inlineStr">
        <is>
          <t>CUHSL</t>
        </is>
      </c>
      <c r="C88" t="inlineStr">
        <is>
          <t>SHELVES</t>
        </is>
      </c>
      <c r="D88" t="inlineStr">
        <is>
          <t>W 18 C153r 2003</t>
        </is>
      </c>
      <c r="E88" t="inlineStr">
        <is>
          <t>0                      W  0018000C  153r        2003</t>
        </is>
      </c>
      <c r="F88" t="inlineStr">
        <is>
          <t>Resources in cultural competence education for health care professionals / prepared for the California Endowment; edited by M. Jean Gilbert.</t>
        </is>
      </c>
      <c r="H88" t="inlineStr">
        <is>
          <t>No</t>
        </is>
      </c>
      <c r="I88" t="inlineStr">
        <is>
          <t>2</t>
        </is>
      </c>
      <c r="J88" t="inlineStr">
        <is>
          <t>No</t>
        </is>
      </c>
      <c r="K88" t="inlineStr">
        <is>
          <t>No</t>
        </is>
      </c>
      <c r="L88" t="inlineStr">
        <is>
          <t>0</t>
        </is>
      </c>
      <c r="N88" t="inlineStr">
        <is>
          <t>[Woodland Hills, CA] : The Endowment, [2003]</t>
        </is>
      </c>
      <c r="O88" t="inlineStr">
        <is>
          <t>2003</t>
        </is>
      </c>
      <c r="Q88" t="inlineStr">
        <is>
          <t>eng</t>
        </is>
      </c>
      <c r="R88" t="inlineStr">
        <is>
          <t>cau</t>
        </is>
      </c>
      <c r="T88" t="inlineStr">
        <is>
          <t xml:space="preserve">W  </t>
        </is>
      </c>
      <c r="U88" t="n">
        <v>5</v>
      </c>
      <c r="V88" t="n">
        <v>5</v>
      </c>
      <c r="W88" t="inlineStr">
        <is>
          <t>2006-01-18</t>
        </is>
      </c>
      <c r="X88" t="inlineStr">
        <is>
          <t>2006-01-18</t>
        </is>
      </c>
      <c r="Y88" t="inlineStr">
        <is>
          <t>2004-09-01</t>
        </is>
      </c>
      <c r="Z88" t="inlineStr">
        <is>
          <t>2004-09-01</t>
        </is>
      </c>
      <c r="AA88" t="n">
        <v>1</v>
      </c>
      <c r="AB88" t="n">
        <v>1</v>
      </c>
      <c r="AC88" t="n">
        <v>1</v>
      </c>
      <c r="AD88" t="n">
        <v>1</v>
      </c>
      <c r="AE88" t="n">
        <v>1</v>
      </c>
      <c r="AF88" t="n">
        <v>0</v>
      </c>
      <c r="AG88" t="n">
        <v>0</v>
      </c>
      <c r="AH88" t="n">
        <v>0</v>
      </c>
      <c r="AI88" t="n">
        <v>0</v>
      </c>
      <c r="AJ88" t="n">
        <v>0</v>
      </c>
      <c r="AK88" t="n">
        <v>0</v>
      </c>
      <c r="AL88" t="n">
        <v>0</v>
      </c>
      <c r="AM88" t="n">
        <v>0</v>
      </c>
      <c r="AN88" t="n">
        <v>0</v>
      </c>
      <c r="AO88" t="n">
        <v>0</v>
      </c>
      <c r="AP88" t="n">
        <v>0</v>
      </c>
      <c r="AQ88" t="n">
        <v>0</v>
      </c>
      <c r="AR88" t="inlineStr">
        <is>
          <t>No</t>
        </is>
      </c>
      <c r="AS88" t="inlineStr">
        <is>
          <t>No</t>
        </is>
      </c>
      <c r="AU88">
        <f>HYPERLINK("https://creighton-primo.hosted.exlibrisgroup.com/primo-explore/search?tab=default_tab&amp;search_scope=EVERYTHING&amp;vid=01CRU&amp;lang=en_US&amp;offset=0&amp;query=any,contains,991000375079702656","Catalog Record")</f>
        <v/>
      </c>
      <c r="AV88">
        <f>HYPERLINK("http://www.worldcat.org/oclc/55666839","WorldCat Record")</f>
        <v/>
      </c>
      <c r="AW88" t="inlineStr">
        <is>
          <t>15788263:eng</t>
        </is>
      </c>
      <c r="AX88" t="inlineStr">
        <is>
          <t>55666839</t>
        </is>
      </c>
      <c r="AY88" t="inlineStr">
        <is>
          <t>991000375079702656</t>
        </is>
      </c>
      <c r="AZ88" t="inlineStr">
        <is>
          <t>991000375079702656</t>
        </is>
      </c>
      <c r="BA88" t="inlineStr">
        <is>
          <t>2258045890002656</t>
        </is>
      </c>
      <c r="BB88" t="inlineStr">
        <is>
          <t>BOOK</t>
        </is>
      </c>
      <c r="BE88" t="inlineStr">
        <is>
          <t>30001004840502</t>
        </is>
      </c>
      <c r="BF88" t="inlineStr">
        <is>
          <t>893359512</t>
        </is>
      </c>
    </row>
    <row r="89">
      <c r="A89" t="inlineStr">
        <is>
          <t>No</t>
        </is>
      </c>
      <c r="B89" t="inlineStr">
        <is>
          <t>CUHSL</t>
        </is>
      </c>
      <c r="C89" t="inlineStr">
        <is>
          <t>SHELVES</t>
        </is>
      </c>
      <c r="D89" t="inlineStr">
        <is>
          <t>W 18 C153s 2003</t>
        </is>
      </c>
      <c r="E89" t="inlineStr">
        <is>
          <t>0                      W  0018000C  153s        2003</t>
        </is>
      </c>
      <c r="F89" t="inlineStr">
        <is>
          <t>Strategies for improving the diversity of the health professions / prepared for the California Endowment; [by the] Center for California Health Workforce Studies [and] Education Policy Center.</t>
        </is>
      </c>
      <c r="H89" t="inlineStr">
        <is>
          <t>No</t>
        </is>
      </c>
      <c r="I89" t="inlineStr">
        <is>
          <t>2</t>
        </is>
      </c>
      <c r="J89" t="inlineStr">
        <is>
          <t>No</t>
        </is>
      </c>
      <c r="K89" t="inlineStr">
        <is>
          <t>No</t>
        </is>
      </c>
      <c r="L89" t="inlineStr">
        <is>
          <t>0</t>
        </is>
      </c>
      <c r="N89" t="inlineStr">
        <is>
          <t>[Woodland Hills, CA] : The Endowment, [2003]</t>
        </is>
      </c>
      <c r="O89" t="inlineStr">
        <is>
          <t>2003</t>
        </is>
      </c>
      <c r="Q89" t="inlineStr">
        <is>
          <t>eng</t>
        </is>
      </c>
      <c r="R89" t="inlineStr">
        <is>
          <t>cau</t>
        </is>
      </c>
      <c r="T89" t="inlineStr">
        <is>
          <t xml:space="preserve">W  </t>
        </is>
      </c>
      <c r="U89" t="n">
        <v>3</v>
      </c>
      <c r="V89" t="n">
        <v>3</v>
      </c>
      <c r="W89" t="inlineStr">
        <is>
          <t>2005-10-07</t>
        </is>
      </c>
      <c r="X89" t="inlineStr">
        <is>
          <t>2005-10-07</t>
        </is>
      </c>
      <c r="Y89" t="inlineStr">
        <is>
          <t>2004-09-01</t>
        </is>
      </c>
      <c r="Z89" t="inlineStr">
        <is>
          <t>2004-09-01</t>
        </is>
      </c>
      <c r="AA89" t="n">
        <v>1</v>
      </c>
      <c r="AB89" t="n">
        <v>1</v>
      </c>
      <c r="AC89" t="n">
        <v>1</v>
      </c>
      <c r="AD89" t="n">
        <v>1</v>
      </c>
      <c r="AE89" t="n">
        <v>1</v>
      </c>
      <c r="AF89" t="n">
        <v>0</v>
      </c>
      <c r="AG89" t="n">
        <v>0</v>
      </c>
      <c r="AH89" t="n">
        <v>0</v>
      </c>
      <c r="AI89" t="n">
        <v>0</v>
      </c>
      <c r="AJ89" t="n">
        <v>0</v>
      </c>
      <c r="AK89" t="n">
        <v>0</v>
      </c>
      <c r="AL89" t="n">
        <v>0</v>
      </c>
      <c r="AM89" t="n">
        <v>0</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HYPERLINK("https://creighton-primo.hosted.exlibrisgroup.com/primo-explore/search?tab=default_tab&amp;search_scope=EVERYTHING&amp;vid=01CRU&amp;lang=en_US&amp;offset=0&amp;query=any,contains,991000375119702656","Catalog Record")</f>
        <v/>
      </c>
      <c r="AV89">
        <f>HYPERLINK("http://www.worldcat.org/oclc/55668751","WorldCat Record")</f>
        <v/>
      </c>
      <c r="AW89" t="inlineStr">
        <is>
          <t>15856107:eng</t>
        </is>
      </c>
      <c r="AX89" t="inlineStr">
        <is>
          <t>55668751</t>
        </is>
      </c>
      <c r="AY89" t="inlineStr">
        <is>
          <t>991000375119702656</t>
        </is>
      </c>
      <c r="AZ89" t="inlineStr">
        <is>
          <t>991000375119702656</t>
        </is>
      </c>
      <c r="BA89" t="inlineStr">
        <is>
          <t>2259319600002656</t>
        </is>
      </c>
      <c r="BB89" t="inlineStr">
        <is>
          <t>BOOK</t>
        </is>
      </c>
      <c r="BE89" t="inlineStr">
        <is>
          <t>30001004840494</t>
        </is>
      </c>
      <c r="BF89" t="inlineStr">
        <is>
          <t>893275010</t>
        </is>
      </c>
    </row>
    <row r="90">
      <c r="A90" t="inlineStr">
        <is>
          <t>No</t>
        </is>
      </c>
      <c r="B90" t="inlineStr">
        <is>
          <t>CUHSL</t>
        </is>
      </c>
      <c r="C90" t="inlineStr">
        <is>
          <t>SHELVES</t>
        </is>
      </c>
      <c r="D90" t="inlineStr">
        <is>
          <t>W 18 C357 1999</t>
        </is>
      </c>
      <c r="E90" t="inlineStr">
        <is>
          <t>0                      W  0018000C  357         1999</t>
        </is>
      </c>
      <c r="F90" t="inlineStr">
        <is>
          <t>Catalysts in interdisciplinary education : innovation by academic health centers / edited by Denise E. Holmes and Marian Osterweis.</t>
        </is>
      </c>
      <c r="H90" t="inlineStr">
        <is>
          <t>No</t>
        </is>
      </c>
      <c r="I90" t="inlineStr">
        <is>
          <t>1</t>
        </is>
      </c>
      <c r="J90" t="inlineStr">
        <is>
          <t>No</t>
        </is>
      </c>
      <c r="K90" t="inlineStr">
        <is>
          <t>No</t>
        </is>
      </c>
      <c r="L90" t="inlineStr">
        <is>
          <t>0</t>
        </is>
      </c>
      <c r="N90" t="inlineStr">
        <is>
          <t>Washington, DC : Association of Academic Health Centers, c1999.</t>
        </is>
      </c>
      <c r="O90" t="inlineStr">
        <is>
          <t>1999</t>
        </is>
      </c>
      <c r="Q90" t="inlineStr">
        <is>
          <t>eng</t>
        </is>
      </c>
      <c r="R90" t="inlineStr">
        <is>
          <t>dcu</t>
        </is>
      </c>
      <c r="T90" t="inlineStr">
        <is>
          <t xml:space="preserve">W  </t>
        </is>
      </c>
      <c r="U90" t="n">
        <v>0</v>
      </c>
      <c r="V90" t="n">
        <v>0</v>
      </c>
      <c r="W90" t="inlineStr">
        <is>
          <t>2007-01-29</t>
        </is>
      </c>
      <c r="X90" t="inlineStr">
        <is>
          <t>2007-01-29</t>
        </is>
      </c>
      <c r="Y90" t="inlineStr">
        <is>
          <t>2007-01-16</t>
        </is>
      </c>
      <c r="Z90" t="inlineStr">
        <is>
          <t>2007-01-16</t>
        </is>
      </c>
      <c r="AA90" t="n">
        <v>38</v>
      </c>
      <c r="AB90" t="n">
        <v>35</v>
      </c>
      <c r="AC90" t="n">
        <v>37</v>
      </c>
      <c r="AD90" t="n">
        <v>1</v>
      </c>
      <c r="AE90" t="n">
        <v>1</v>
      </c>
      <c r="AF90" t="n">
        <v>1</v>
      </c>
      <c r="AG90" t="n">
        <v>1</v>
      </c>
      <c r="AH90" t="n">
        <v>0</v>
      </c>
      <c r="AI90" t="n">
        <v>0</v>
      </c>
      <c r="AJ90" t="n">
        <v>0</v>
      </c>
      <c r="AK90" t="n">
        <v>0</v>
      </c>
      <c r="AL90" t="n">
        <v>1</v>
      </c>
      <c r="AM90" t="n">
        <v>1</v>
      </c>
      <c r="AN90" t="n">
        <v>0</v>
      </c>
      <c r="AO90" t="n">
        <v>0</v>
      </c>
      <c r="AP90" t="n">
        <v>0</v>
      </c>
      <c r="AQ90" t="n">
        <v>0</v>
      </c>
      <c r="AR90" t="inlineStr">
        <is>
          <t>No</t>
        </is>
      </c>
      <c r="AS90" t="inlineStr">
        <is>
          <t>Yes</t>
        </is>
      </c>
      <c r="AT90">
        <f>HYPERLINK("http://catalog.hathitrust.org/Record/004734070","HathiTrust Record")</f>
        <v/>
      </c>
      <c r="AU90">
        <f>HYPERLINK("https://creighton-primo.hosted.exlibrisgroup.com/primo-explore/search?tab=default_tab&amp;search_scope=EVERYTHING&amp;vid=01CRU&amp;lang=en_US&amp;offset=0&amp;query=any,contains,991000580789702656","Catalog Record")</f>
        <v/>
      </c>
      <c r="AV90">
        <f>HYPERLINK("http://www.worldcat.org/oclc/42296367","WorldCat Record")</f>
        <v/>
      </c>
      <c r="AW90" t="inlineStr">
        <is>
          <t>476433947:eng</t>
        </is>
      </c>
      <c r="AX90" t="inlineStr">
        <is>
          <t>42296367</t>
        </is>
      </c>
      <c r="AY90" t="inlineStr">
        <is>
          <t>991000580789702656</t>
        </is>
      </c>
      <c r="AZ90" t="inlineStr">
        <is>
          <t>991000580789702656</t>
        </is>
      </c>
      <c r="BA90" t="inlineStr">
        <is>
          <t>2255805910002656</t>
        </is>
      </c>
      <c r="BB90" t="inlineStr">
        <is>
          <t>BOOK</t>
        </is>
      </c>
      <c r="BD90" t="inlineStr">
        <is>
          <t>9781879694163</t>
        </is>
      </c>
      <c r="BE90" t="inlineStr">
        <is>
          <t>30001005209160</t>
        </is>
      </c>
      <c r="BF90" t="inlineStr">
        <is>
          <t>893539309</t>
        </is>
      </c>
    </row>
    <row r="91">
      <c r="A91" t="inlineStr">
        <is>
          <t>No</t>
        </is>
      </c>
      <c r="B91" t="inlineStr">
        <is>
          <t>CUHSL</t>
        </is>
      </c>
      <c r="C91" t="inlineStr">
        <is>
          <t>SHELVES</t>
        </is>
      </c>
      <c r="D91" t="inlineStr">
        <is>
          <t>W 18 C641 1990</t>
        </is>
      </c>
      <c r="E91" t="inlineStr">
        <is>
          <t>0                      W  0018000C  641         1990</t>
        </is>
      </c>
      <c r="F91" t="inlineStr">
        <is>
          <t>Clinical education in a changing health care system : who pays? [edited by] Ira Singer ... [et al.].</t>
        </is>
      </c>
      <c r="H91" t="inlineStr">
        <is>
          <t>No</t>
        </is>
      </c>
      <c r="I91" t="inlineStr">
        <is>
          <t>1</t>
        </is>
      </c>
      <c r="J91" t="inlineStr">
        <is>
          <t>No</t>
        </is>
      </c>
      <c r="K91" t="inlineStr">
        <is>
          <t>No</t>
        </is>
      </c>
      <c r="L91" t="inlineStr">
        <is>
          <t>0</t>
        </is>
      </c>
      <c r="N91" t="inlineStr">
        <is>
          <t>Chicago : Medical Education Group of the American Medical Association 1990.</t>
        </is>
      </c>
      <c r="O91" t="inlineStr">
        <is>
          <t>1990</t>
        </is>
      </c>
      <c r="P91" t="inlineStr">
        <is>
          <t>1st ed.</t>
        </is>
      </c>
      <c r="Q91" t="inlineStr">
        <is>
          <t>eng</t>
        </is>
      </c>
      <c r="R91" t="inlineStr">
        <is>
          <t>ilu</t>
        </is>
      </c>
      <c r="T91" t="inlineStr">
        <is>
          <t xml:space="preserve">W  </t>
        </is>
      </c>
      <c r="U91" t="n">
        <v>2</v>
      </c>
      <c r="V91" t="n">
        <v>2</v>
      </c>
      <c r="W91" t="inlineStr">
        <is>
          <t>1990-10-01</t>
        </is>
      </c>
      <c r="X91" t="inlineStr">
        <is>
          <t>1990-10-01</t>
        </is>
      </c>
      <c r="Y91" t="inlineStr">
        <is>
          <t>1990-10-01</t>
        </is>
      </c>
      <c r="Z91" t="inlineStr">
        <is>
          <t>1990-10-01</t>
        </is>
      </c>
      <c r="AA91" t="n">
        <v>52</v>
      </c>
      <c r="AB91" t="n">
        <v>52</v>
      </c>
      <c r="AC91" t="n">
        <v>52</v>
      </c>
      <c r="AD91" t="n">
        <v>1</v>
      </c>
      <c r="AE91" t="n">
        <v>1</v>
      </c>
      <c r="AF91" t="n">
        <v>1</v>
      </c>
      <c r="AG91" t="n">
        <v>1</v>
      </c>
      <c r="AH91" t="n">
        <v>0</v>
      </c>
      <c r="AI91" t="n">
        <v>0</v>
      </c>
      <c r="AJ91" t="n">
        <v>0</v>
      </c>
      <c r="AK91" t="n">
        <v>0</v>
      </c>
      <c r="AL91" t="n">
        <v>1</v>
      </c>
      <c r="AM91" t="n">
        <v>1</v>
      </c>
      <c r="AN91" t="n">
        <v>0</v>
      </c>
      <c r="AO91" t="n">
        <v>0</v>
      </c>
      <c r="AP91" t="n">
        <v>0</v>
      </c>
      <c r="AQ91" t="n">
        <v>0</v>
      </c>
      <c r="AR91" t="inlineStr">
        <is>
          <t>No</t>
        </is>
      </c>
      <c r="AS91" t="inlineStr">
        <is>
          <t>No</t>
        </is>
      </c>
      <c r="AU91">
        <f>HYPERLINK("https://creighton-primo.hosted.exlibrisgroup.com/primo-explore/search?tab=default_tab&amp;search_scope=EVERYTHING&amp;vid=01CRU&amp;lang=en_US&amp;offset=0&amp;query=any,contains,991000764959702656","Catalog Record")</f>
        <v/>
      </c>
      <c r="AV91">
        <f>HYPERLINK("http://www.worldcat.org/oclc/22461382","WorldCat Record")</f>
        <v/>
      </c>
      <c r="AW91" t="inlineStr">
        <is>
          <t>5610148199:eng</t>
        </is>
      </c>
      <c r="AX91" t="inlineStr">
        <is>
          <t>22461382</t>
        </is>
      </c>
      <c r="AY91" t="inlineStr">
        <is>
          <t>991000764959702656</t>
        </is>
      </c>
      <c r="AZ91" t="inlineStr">
        <is>
          <t>991000764959702656</t>
        </is>
      </c>
      <c r="BA91" t="inlineStr">
        <is>
          <t>2254962190002656</t>
        </is>
      </c>
      <c r="BB91" t="inlineStr">
        <is>
          <t>BOOK</t>
        </is>
      </c>
      <c r="BD91" t="inlineStr">
        <is>
          <t>9780899704319</t>
        </is>
      </c>
      <c r="BE91" t="inlineStr">
        <is>
          <t>30001002060889</t>
        </is>
      </c>
      <c r="BF91" t="inlineStr">
        <is>
          <t>893740169</t>
        </is>
      </c>
    </row>
    <row r="92">
      <c r="A92" t="inlineStr">
        <is>
          <t>No</t>
        </is>
      </c>
      <c r="B92" t="inlineStr">
        <is>
          <t>CUHSL</t>
        </is>
      </c>
      <c r="C92" t="inlineStr">
        <is>
          <t>SHELVES</t>
        </is>
      </c>
      <c r="D92" t="inlineStr">
        <is>
          <t>W 18 C775m 1978</t>
        </is>
      </c>
      <c r="E92" t="inlineStr">
        <is>
          <t>0                      W  0018000C  775m        1978</t>
        </is>
      </c>
      <c r="F92" t="inlineStr">
        <is>
          <t>Mastering medicine : professional socialization in medical school / Robert H. Coombs.</t>
        </is>
      </c>
      <c r="H92" t="inlineStr">
        <is>
          <t>No</t>
        </is>
      </c>
      <c r="I92" t="inlineStr">
        <is>
          <t>1</t>
        </is>
      </c>
      <c r="J92" t="inlineStr">
        <is>
          <t>No</t>
        </is>
      </c>
      <c r="K92" t="inlineStr">
        <is>
          <t>No</t>
        </is>
      </c>
      <c r="L92" t="inlineStr">
        <is>
          <t>0</t>
        </is>
      </c>
      <c r="M92" t="inlineStr">
        <is>
          <t>Coombs, Robert H.</t>
        </is>
      </c>
      <c r="N92" t="inlineStr">
        <is>
          <t>New York : Free Press, c1978.</t>
        </is>
      </c>
      <c r="O92" t="inlineStr">
        <is>
          <t>1978</t>
        </is>
      </c>
      <c r="Q92" t="inlineStr">
        <is>
          <t>eng</t>
        </is>
      </c>
      <c r="R92" t="inlineStr">
        <is>
          <t>nyu</t>
        </is>
      </c>
      <c r="T92" t="inlineStr">
        <is>
          <t xml:space="preserve">W  </t>
        </is>
      </c>
      <c r="U92" t="n">
        <v>7</v>
      </c>
      <c r="V92" t="n">
        <v>7</v>
      </c>
      <c r="W92" t="inlineStr">
        <is>
          <t>2005-02-01</t>
        </is>
      </c>
      <c r="X92" t="inlineStr">
        <is>
          <t>2005-02-01</t>
        </is>
      </c>
      <c r="Y92" t="inlineStr">
        <is>
          <t>1989-07-09</t>
        </is>
      </c>
      <c r="Z92" t="inlineStr">
        <is>
          <t>1989-07-09</t>
        </is>
      </c>
      <c r="AA92" t="n">
        <v>299</v>
      </c>
      <c r="AB92" t="n">
        <v>244</v>
      </c>
      <c r="AC92" t="n">
        <v>246</v>
      </c>
      <c r="AD92" t="n">
        <v>3</v>
      </c>
      <c r="AE92" t="n">
        <v>3</v>
      </c>
      <c r="AF92" t="n">
        <v>9</v>
      </c>
      <c r="AG92" t="n">
        <v>9</v>
      </c>
      <c r="AH92" t="n">
        <v>1</v>
      </c>
      <c r="AI92" t="n">
        <v>1</v>
      </c>
      <c r="AJ92" t="n">
        <v>2</v>
      </c>
      <c r="AK92" t="n">
        <v>2</v>
      </c>
      <c r="AL92" t="n">
        <v>6</v>
      </c>
      <c r="AM92" t="n">
        <v>6</v>
      </c>
      <c r="AN92" t="n">
        <v>2</v>
      </c>
      <c r="AO92" t="n">
        <v>2</v>
      </c>
      <c r="AP92" t="n">
        <v>0</v>
      </c>
      <c r="AQ92" t="n">
        <v>0</v>
      </c>
      <c r="AR92" t="inlineStr">
        <is>
          <t>No</t>
        </is>
      </c>
      <c r="AS92" t="inlineStr">
        <is>
          <t>No</t>
        </is>
      </c>
      <c r="AU92">
        <f>HYPERLINK("https://creighton-primo.hosted.exlibrisgroup.com/primo-explore/search?tab=default_tab&amp;search_scope=EVERYTHING&amp;vid=01CRU&amp;lang=en_US&amp;offset=0&amp;query=any,contains,991001167649702656","Catalog Record")</f>
        <v/>
      </c>
      <c r="AV92">
        <f>HYPERLINK("http://www.worldcat.org/oclc/3650825","WorldCat Record")</f>
        <v/>
      </c>
      <c r="AW92" t="inlineStr">
        <is>
          <t>248171086:eng</t>
        </is>
      </c>
      <c r="AX92" t="inlineStr">
        <is>
          <t>3650825</t>
        </is>
      </c>
      <c r="AY92" t="inlineStr">
        <is>
          <t>991001167649702656</t>
        </is>
      </c>
      <c r="AZ92" t="inlineStr">
        <is>
          <t>991001167649702656</t>
        </is>
      </c>
      <c r="BA92" t="inlineStr">
        <is>
          <t>2261444050002656</t>
        </is>
      </c>
      <c r="BB92" t="inlineStr">
        <is>
          <t>BOOK</t>
        </is>
      </c>
      <c r="BD92" t="inlineStr">
        <is>
          <t>9780029066409</t>
        </is>
      </c>
      <c r="BE92" t="inlineStr">
        <is>
          <t>30001000305633</t>
        </is>
      </c>
      <c r="BF92" t="inlineStr">
        <is>
          <t>893287283</t>
        </is>
      </c>
    </row>
    <row r="93">
      <c r="A93" t="inlineStr">
        <is>
          <t>No</t>
        </is>
      </c>
      <c r="B93" t="inlineStr">
        <is>
          <t>CUHSL</t>
        </is>
      </c>
      <c r="C93" t="inlineStr">
        <is>
          <t>SHELVES</t>
        </is>
      </c>
      <c r="D93" t="inlineStr">
        <is>
          <t>W 18 C979b 1971</t>
        </is>
      </c>
      <c r="E93" t="inlineStr">
        <is>
          <t>0                      W  0018000C  979b        1971</t>
        </is>
      </c>
      <c r="F93" t="inlineStr">
        <is>
          <t>Blacks, medical schools, and society / [by] James L. Curtis.</t>
        </is>
      </c>
      <c r="H93" t="inlineStr">
        <is>
          <t>No</t>
        </is>
      </c>
      <c r="I93" t="inlineStr">
        <is>
          <t>1</t>
        </is>
      </c>
      <c r="J93" t="inlineStr">
        <is>
          <t>No</t>
        </is>
      </c>
      <c r="K93" t="inlineStr">
        <is>
          <t>No</t>
        </is>
      </c>
      <c r="L93" t="inlineStr">
        <is>
          <t>0</t>
        </is>
      </c>
      <c r="M93" t="inlineStr">
        <is>
          <t>Curtis, James L., 1922-</t>
        </is>
      </c>
      <c r="N93" t="inlineStr">
        <is>
          <t>Ann Arbor : University of Michigan Press, [1971]</t>
        </is>
      </c>
      <c r="O93" t="inlineStr">
        <is>
          <t>1971</t>
        </is>
      </c>
      <c r="Q93" t="inlineStr">
        <is>
          <t>eng</t>
        </is>
      </c>
      <c r="R93" t="inlineStr">
        <is>
          <t>miu</t>
        </is>
      </c>
      <c r="T93" t="inlineStr">
        <is>
          <t xml:space="preserve">W  </t>
        </is>
      </c>
      <c r="U93" t="n">
        <v>3</v>
      </c>
      <c r="V93" t="n">
        <v>3</v>
      </c>
      <c r="W93" t="inlineStr">
        <is>
          <t>1992-11-14</t>
        </is>
      </c>
      <c r="X93" t="inlineStr">
        <is>
          <t>1992-11-14</t>
        </is>
      </c>
      <c r="Y93" t="inlineStr">
        <is>
          <t>1987-10-08</t>
        </is>
      </c>
      <c r="Z93" t="inlineStr">
        <is>
          <t>1987-10-08</t>
        </is>
      </c>
      <c r="AA93" t="n">
        <v>530</v>
      </c>
      <c r="AB93" t="n">
        <v>499</v>
      </c>
      <c r="AC93" t="n">
        <v>504</v>
      </c>
      <c r="AD93" t="n">
        <v>3</v>
      </c>
      <c r="AE93" t="n">
        <v>3</v>
      </c>
      <c r="AF93" t="n">
        <v>13</v>
      </c>
      <c r="AG93" t="n">
        <v>13</v>
      </c>
      <c r="AH93" t="n">
        <v>2</v>
      </c>
      <c r="AI93" t="n">
        <v>2</v>
      </c>
      <c r="AJ93" t="n">
        <v>2</v>
      </c>
      <c r="AK93" t="n">
        <v>2</v>
      </c>
      <c r="AL93" t="n">
        <v>7</v>
      </c>
      <c r="AM93" t="n">
        <v>7</v>
      </c>
      <c r="AN93" t="n">
        <v>2</v>
      </c>
      <c r="AO93" t="n">
        <v>2</v>
      </c>
      <c r="AP93" t="n">
        <v>0</v>
      </c>
      <c r="AQ93" t="n">
        <v>0</v>
      </c>
      <c r="AR93" t="inlineStr">
        <is>
          <t>No</t>
        </is>
      </c>
      <c r="AS93" t="inlineStr">
        <is>
          <t>Yes</t>
        </is>
      </c>
      <c r="AT93">
        <f>HYPERLINK("http://catalog.hathitrust.org/Record/001577181","HathiTrust Record")</f>
        <v/>
      </c>
      <c r="AU93">
        <f>HYPERLINK("https://creighton-primo.hosted.exlibrisgroup.com/primo-explore/search?tab=default_tab&amp;search_scope=EVERYTHING&amp;vid=01CRU&amp;lang=en_US&amp;offset=0&amp;query=any,contains,991001167719702656","Catalog Record")</f>
        <v/>
      </c>
      <c r="AV93">
        <f>HYPERLINK("http://www.worldcat.org/oclc/150483","WorldCat Record")</f>
        <v/>
      </c>
      <c r="AW93" t="inlineStr">
        <is>
          <t>491051:eng</t>
        </is>
      </c>
      <c r="AX93" t="inlineStr">
        <is>
          <t>150483</t>
        </is>
      </c>
      <c r="AY93" t="inlineStr">
        <is>
          <t>991001167719702656</t>
        </is>
      </c>
      <c r="AZ93" t="inlineStr">
        <is>
          <t>991001167719702656</t>
        </is>
      </c>
      <c r="BA93" t="inlineStr">
        <is>
          <t>2271124720002656</t>
        </is>
      </c>
      <c r="BB93" t="inlineStr">
        <is>
          <t>BOOK</t>
        </is>
      </c>
      <c r="BD93" t="inlineStr">
        <is>
          <t>9780472269006</t>
        </is>
      </c>
      <c r="BE93" t="inlineStr">
        <is>
          <t>30001000305674</t>
        </is>
      </c>
      <c r="BF93" t="inlineStr">
        <is>
          <t>893727308</t>
        </is>
      </c>
    </row>
    <row r="94">
      <c r="A94" t="inlineStr">
        <is>
          <t>No</t>
        </is>
      </c>
      <c r="B94" t="inlineStr">
        <is>
          <t>CUHSL</t>
        </is>
      </c>
      <c r="C94" t="inlineStr">
        <is>
          <t>SHELVES</t>
        </is>
      </c>
      <c r="D94" t="inlineStr">
        <is>
          <t>W 18 E2638 2000</t>
        </is>
      </c>
      <c r="E94" t="inlineStr">
        <is>
          <t>0                      W  0018000E  2638        2000</t>
        </is>
      </c>
      <c r="F94" t="inlineStr">
        <is>
          <t>The education of medical students : ten stories of curriculum change.</t>
        </is>
      </c>
      <c r="H94" t="inlineStr">
        <is>
          <t>No</t>
        </is>
      </c>
      <c r="I94" t="inlineStr">
        <is>
          <t>1</t>
        </is>
      </c>
      <c r="J94" t="inlineStr">
        <is>
          <t>No</t>
        </is>
      </c>
      <c r="K94" t="inlineStr">
        <is>
          <t>No</t>
        </is>
      </c>
      <c r="L94" t="inlineStr">
        <is>
          <t>0</t>
        </is>
      </c>
      <c r="N94" t="inlineStr">
        <is>
          <t>Washington, DC : Association of American Medical Colleges ; New York, NY : Milbank Memorial Fund, c2000.</t>
        </is>
      </c>
      <c r="O94" t="inlineStr">
        <is>
          <t>2000</t>
        </is>
      </c>
      <c r="Q94" t="inlineStr">
        <is>
          <t>eng</t>
        </is>
      </c>
      <c r="R94" t="inlineStr">
        <is>
          <t>dcu</t>
        </is>
      </c>
      <c r="T94" t="inlineStr">
        <is>
          <t xml:space="preserve">W  </t>
        </is>
      </c>
      <c r="U94" t="n">
        <v>0</v>
      </c>
      <c r="V94" t="n">
        <v>0</v>
      </c>
      <c r="W94" t="inlineStr">
        <is>
          <t>2007-01-29</t>
        </is>
      </c>
      <c r="X94" t="inlineStr">
        <is>
          <t>2007-01-29</t>
        </is>
      </c>
      <c r="Y94" t="inlineStr">
        <is>
          <t>2007-01-16</t>
        </is>
      </c>
      <c r="Z94" t="inlineStr">
        <is>
          <t>2007-01-16</t>
        </is>
      </c>
      <c r="AA94" t="n">
        <v>59</v>
      </c>
      <c r="AB94" t="n">
        <v>53</v>
      </c>
      <c r="AC94" t="n">
        <v>57</v>
      </c>
      <c r="AD94" t="n">
        <v>1</v>
      </c>
      <c r="AE94" t="n">
        <v>1</v>
      </c>
      <c r="AF94" t="n">
        <v>2</v>
      </c>
      <c r="AG94" t="n">
        <v>3</v>
      </c>
      <c r="AH94" t="n">
        <v>1</v>
      </c>
      <c r="AI94" t="n">
        <v>1</v>
      </c>
      <c r="AJ94" t="n">
        <v>1</v>
      </c>
      <c r="AK94" t="n">
        <v>1</v>
      </c>
      <c r="AL94" t="n">
        <v>0</v>
      </c>
      <c r="AM94" t="n">
        <v>1</v>
      </c>
      <c r="AN94" t="n">
        <v>0</v>
      </c>
      <c r="AO94" t="n">
        <v>0</v>
      </c>
      <c r="AP94" t="n">
        <v>0</v>
      </c>
      <c r="AQ94" t="n">
        <v>0</v>
      </c>
      <c r="AR94" t="inlineStr">
        <is>
          <t>No</t>
        </is>
      </c>
      <c r="AS94" t="inlineStr">
        <is>
          <t>Yes</t>
        </is>
      </c>
      <c r="AT94">
        <f>HYPERLINK("http://catalog.hathitrust.org/Record/007991944","HathiTrust Record")</f>
        <v/>
      </c>
      <c r="AU94">
        <f>HYPERLINK("https://creighton-primo.hosted.exlibrisgroup.com/primo-explore/search?tab=default_tab&amp;search_scope=EVERYTHING&amp;vid=01CRU&amp;lang=en_US&amp;offset=0&amp;query=any,contains,991000581479702656","Catalog Record")</f>
        <v/>
      </c>
      <c r="AV94">
        <f>HYPERLINK("http://www.worldcat.org/oclc/46314432","WorldCat Record")</f>
        <v/>
      </c>
      <c r="AW94" t="inlineStr">
        <is>
          <t>1151728895:eng</t>
        </is>
      </c>
      <c r="AX94" t="inlineStr">
        <is>
          <t>46314432</t>
        </is>
      </c>
      <c r="AY94" t="inlineStr">
        <is>
          <t>991000581479702656</t>
        </is>
      </c>
      <c r="AZ94" t="inlineStr">
        <is>
          <t>991000581479702656</t>
        </is>
      </c>
      <c r="BA94" t="inlineStr">
        <is>
          <t>2258574570002656</t>
        </is>
      </c>
      <c r="BB94" t="inlineStr">
        <is>
          <t>BOOK</t>
        </is>
      </c>
      <c r="BD94" t="inlineStr">
        <is>
          <t>9781887748407</t>
        </is>
      </c>
      <c r="BE94" t="inlineStr">
        <is>
          <t>30001005208626</t>
        </is>
      </c>
      <c r="BF94" t="inlineStr">
        <is>
          <t>893833948</t>
        </is>
      </c>
    </row>
    <row r="95">
      <c r="A95" t="inlineStr">
        <is>
          <t>No</t>
        </is>
      </c>
      <c r="B95" t="inlineStr">
        <is>
          <t>CUHSL</t>
        </is>
      </c>
      <c r="C95" t="inlineStr">
        <is>
          <t>SHELVES</t>
        </is>
      </c>
      <c r="D95" t="inlineStr">
        <is>
          <t>W 18 F532q 1997</t>
        </is>
      </c>
      <c r="E95" t="inlineStr">
        <is>
          <t>0                      W  0018000F  532q        1997</t>
        </is>
      </c>
      <c r="F95" t="inlineStr">
        <is>
          <t>Quality clinical supervision in the health care professions : principled approaches to practice / Della Fish, Sheila Twinn.</t>
        </is>
      </c>
      <c r="H95" t="inlineStr">
        <is>
          <t>No</t>
        </is>
      </c>
      <c r="I95" t="inlineStr">
        <is>
          <t>1</t>
        </is>
      </c>
      <c r="J95" t="inlineStr">
        <is>
          <t>No</t>
        </is>
      </c>
      <c r="K95" t="inlineStr">
        <is>
          <t>No</t>
        </is>
      </c>
      <c r="L95" t="inlineStr">
        <is>
          <t>0</t>
        </is>
      </c>
      <c r="M95" t="inlineStr">
        <is>
          <t>Fish, Della.</t>
        </is>
      </c>
      <c r="N95" t="inlineStr">
        <is>
          <t>Oxford ; Boston : Butterworth-Heinemann, c1997.</t>
        </is>
      </c>
      <c r="O95" t="inlineStr">
        <is>
          <t>1997</t>
        </is>
      </c>
      <c r="Q95" t="inlineStr">
        <is>
          <t>eng</t>
        </is>
      </c>
      <c r="R95" t="inlineStr">
        <is>
          <t>enk</t>
        </is>
      </c>
      <c r="T95" t="inlineStr">
        <is>
          <t xml:space="preserve">W  </t>
        </is>
      </c>
      <c r="U95" t="n">
        <v>5</v>
      </c>
      <c r="V95" t="n">
        <v>5</v>
      </c>
      <c r="W95" t="inlineStr">
        <is>
          <t>2004-03-26</t>
        </is>
      </c>
      <c r="X95" t="inlineStr">
        <is>
          <t>2004-03-26</t>
        </is>
      </c>
      <c r="Y95" t="inlineStr">
        <is>
          <t>1997-09-19</t>
        </is>
      </c>
      <c r="Z95" t="inlineStr">
        <is>
          <t>1997-09-19</t>
        </is>
      </c>
      <c r="AA95" t="n">
        <v>123</v>
      </c>
      <c r="AB95" t="n">
        <v>43</v>
      </c>
      <c r="AC95" t="n">
        <v>45</v>
      </c>
      <c r="AD95" t="n">
        <v>1</v>
      </c>
      <c r="AE95" t="n">
        <v>1</v>
      </c>
      <c r="AF95" t="n">
        <v>1</v>
      </c>
      <c r="AG95" t="n">
        <v>1</v>
      </c>
      <c r="AH95" t="n">
        <v>0</v>
      </c>
      <c r="AI95" t="n">
        <v>0</v>
      </c>
      <c r="AJ95" t="n">
        <v>0</v>
      </c>
      <c r="AK95" t="n">
        <v>0</v>
      </c>
      <c r="AL95" t="n">
        <v>1</v>
      </c>
      <c r="AM95" t="n">
        <v>1</v>
      </c>
      <c r="AN95" t="n">
        <v>0</v>
      </c>
      <c r="AO95" t="n">
        <v>0</v>
      </c>
      <c r="AP95" t="n">
        <v>0</v>
      </c>
      <c r="AQ95" t="n">
        <v>0</v>
      </c>
      <c r="AR95" t="inlineStr">
        <is>
          <t>No</t>
        </is>
      </c>
      <c r="AS95" t="inlineStr">
        <is>
          <t>No</t>
        </is>
      </c>
      <c r="AU95">
        <f>HYPERLINK("https://creighton-primo.hosted.exlibrisgroup.com/primo-explore/search?tab=default_tab&amp;search_scope=EVERYTHING&amp;vid=01CRU&amp;lang=en_US&amp;offset=0&amp;query=any,contains,991001134909702656","Catalog Record")</f>
        <v/>
      </c>
      <c r="AV95">
        <f>HYPERLINK("http://www.worldcat.org/oclc/35145712","WorldCat Record")</f>
        <v/>
      </c>
      <c r="AW95" t="inlineStr">
        <is>
          <t>203489218:eng</t>
        </is>
      </c>
      <c r="AX95" t="inlineStr">
        <is>
          <t>35145712</t>
        </is>
      </c>
      <c r="AY95" t="inlineStr">
        <is>
          <t>991001134909702656</t>
        </is>
      </c>
      <c r="AZ95" t="inlineStr">
        <is>
          <t>991001134909702656</t>
        </is>
      </c>
      <c r="BA95" t="inlineStr">
        <is>
          <t>2263586280002656</t>
        </is>
      </c>
      <c r="BB95" t="inlineStr">
        <is>
          <t>BOOK</t>
        </is>
      </c>
      <c r="BD95" t="inlineStr">
        <is>
          <t>9780750626156</t>
        </is>
      </c>
      <c r="BE95" t="inlineStr">
        <is>
          <t>30001003626126</t>
        </is>
      </c>
      <c r="BF95" t="inlineStr">
        <is>
          <t>893743645</t>
        </is>
      </c>
    </row>
    <row r="96">
      <c r="A96" t="inlineStr">
        <is>
          <t>No</t>
        </is>
      </c>
      <c r="B96" t="inlineStr">
        <is>
          <t>CUHSL</t>
        </is>
      </c>
      <c r="C96" t="inlineStr">
        <is>
          <t>SHELVES</t>
        </is>
      </c>
      <c r="D96" t="inlineStr">
        <is>
          <t>W 18 F619m 1925</t>
        </is>
      </c>
      <c r="E96" t="inlineStr">
        <is>
          <t>0                      W  0018000F  619m        1925</t>
        </is>
      </c>
      <c r="F96" t="inlineStr">
        <is>
          <t>Medical education : a comparative study / by Abraham Flexner ...</t>
        </is>
      </c>
      <c r="H96" t="inlineStr">
        <is>
          <t>No</t>
        </is>
      </c>
      <c r="I96" t="inlineStr">
        <is>
          <t>1</t>
        </is>
      </c>
      <c r="J96" t="inlineStr">
        <is>
          <t>No</t>
        </is>
      </c>
      <c r="K96" t="inlineStr">
        <is>
          <t>No</t>
        </is>
      </c>
      <c r="L96" t="inlineStr">
        <is>
          <t>0</t>
        </is>
      </c>
      <c r="M96" t="inlineStr">
        <is>
          <t>Flexner, Abraham, 1866-1959.</t>
        </is>
      </c>
      <c r="N96" t="inlineStr">
        <is>
          <t>New York : The Macmillan Company, 1925.</t>
        </is>
      </c>
      <c r="O96" t="inlineStr">
        <is>
          <t>1925</t>
        </is>
      </c>
      <c r="Q96" t="inlineStr">
        <is>
          <t>eng</t>
        </is>
      </c>
      <c r="R96" t="inlineStr">
        <is>
          <t>nyu</t>
        </is>
      </c>
      <c r="T96" t="inlineStr">
        <is>
          <t xml:space="preserve">W  </t>
        </is>
      </c>
      <c r="U96" t="n">
        <v>5</v>
      </c>
      <c r="V96" t="n">
        <v>5</v>
      </c>
      <c r="W96" t="inlineStr">
        <is>
          <t>1994-12-08</t>
        </is>
      </c>
      <c r="X96" t="inlineStr">
        <is>
          <t>1994-12-08</t>
        </is>
      </c>
      <c r="Y96" t="inlineStr">
        <is>
          <t>1987-10-07</t>
        </is>
      </c>
      <c r="Z96" t="inlineStr">
        <is>
          <t>1987-10-07</t>
        </is>
      </c>
      <c r="AA96" t="n">
        <v>340</v>
      </c>
      <c r="AB96" t="n">
        <v>239</v>
      </c>
      <c r="AC96" t="n">
        <v>251</v>
      </c>
      <c r="AD96" t="n">
        <v>3</v>
      </c>
      <c r="AE96" t="n">
        <v>4</v>
      </c>
      <c r="AF96" t="n">
        <v>8</v>
      </c>
      <c r="AG96" t="n">
        <v>9</v>
      </c>
      <c r="AH96" t="n">
        <v>1</v>
      </c>
      <c r="AI96" t="n">
        <v>1</v>
      </c>
      <c r="AJ96" t="n">
        <v>1</v>
      </c>
      <c r="AK96" t="n">
        <v>1</v>
      </c>
      <c r="AL96" t="n">
        <v>4</v>
      </c>
      <c r="AM96" t="n">
        <v>4</v>
      </c>
      <c r="AN96" t="n">
        <v>2</v>
      </c>
      <c r="AO96" t="n">
        <v>3</v>
      </c>
      <c r="AP96" t="n">
        <v>0</v>
      </c>
      <c r="AQ96" t="n">
        <v>0</v>
      </c>
      <c r="AR96" t="inlineStr">
        <is>
          <t>Yes</t>
        </is>
      </c>
      <c r="AS96" t="inlineStr">
        <is>
          <t>No</t>
        </is>
      </c>
      <c r="AT96">
        <f>HYPERLINK("http://catalog.hathitrust.org/Record/001557972","HathiTrust Record")</f>
        <v/>
      </c>
      <c r="AU96">
        <f>HYPERLINK("https://creighton-primo.hosted.exlibrisgroup.com/primo-explore/search?tab=default_tab&amp;search_scope=EVERYTHING&amp;vid=01CRU&amp;lang=en_US&amp;offset=0&amp;query=any,contains,991001167929702656","Catalog Record")</f>
        <v/>
      </c>
      <c r="AV96">
        <f>HYPERLINK("http://www.worldcat.org/oclc/1558425","WorldCat Record")</f>
        <v/>
      </c>
      <c r="AW96" t="inlineStr">
        <is>
          <t>3901151314:eng</t>
        </is>
      </c>
      <c r="AX96" t="inlineStr">
        <is>
          <t>1558425</t>
        </is>
      </c>
      <c r="AY96" t="inlineStr">
        <is>
          <t>991001167929702656</t>
        </is>
      </c>
      <c r="AZ96" t="inlineStr">
        <is>
          <t>991001167929702656</t>
        </is>
      </c>
      <c r="BA96" t="inlineStr">
        <is>
          <t>2266871360002656</t>
        </is>
      </c>
      <c r="BB96" t="inlineStr">
        <is>
          <t>BOOK</t>
        </is>
      </c>
      <c r="BE96" t="inlineStr">
        <is>
          <t>30001000305740</t>
        </is>
      </c>
      <c r="BF96" t="inlineStr">
        <is>
          <t>893743659</t>
        </is>
      </c>
    </row>
    <row r="97">
      <c r="A97" t="inlineStr">
        <is>
          <t>No</t>
        </is>
      </c>
      <c r="B97" t="inlineStr">
        <is>
          <t>CUHSL</t>
        </is>
      </c>
      <c r="C97" t="inlineStr">
        <is>
          <t>SHELVES</t>
        </is>
      </c>
      <c r="D97" t="inlineStr">
        <is>
          <t>W 18 F619me 1912</t>
        </is>
      </c>
      <c r="E97" t="inlineStr">
        <is>
          <t>0                      W  0018000F  619me       1912</t>
        </is>
      </c>
      <c r="F97" t="inlineStr">
        <is>
          <t>Medical education in Europe : a report to the Carnegie foundation for the advancement of teaching / by Abraham Flexner, with an introduction by Henry S. Pritchett, president of the foundation.</t>
        </is>
      </c>
      <c r="H97" t="inlineStr">
        <is>
          <t>No</t>
        </is>
      </c>
      <c r="I97" t="inlineStr">
        <is>
          <t>1</t>
        </is>
      </c>
      <c r="J97" t="inlineStr">
        <is>
          <t>No</t>
        </is>
      </c>
      <c r="K97" t="inlineStr">
        <is>
          <t>No</t>
        </is>
      </c>
      <c r="L97" t="inlineStr">
        <is>
          <t>0</t>
        </is>
      </c>
      <c r="M97" t="inlineStr">
        <is>
          <t>Flexner, Abraham, 1866-1959.</t>
        </is>
      </c>
      <c r="O97" t="inlineStr">
        <is>
          <t>1912</t>
        </is>
      </c>
      <c r="Q97" t="inlineStr">
        <is>
          <t>eng</t>
        </is>
      </c>
      <c r="R97" t="inlineStr">
        <is>
          <t>nyu</t>
        </is>
      </c>
      <c r="S97" t="inlineStr">
        <is>
          <t>Carnegie foundation for the advancement of teaching. Bulletin no. 6</t>
        </is>
      </c>
      <c r="T97" t="inlineStr">
        <is>
          <t xml:space="preserve">W  </t>
        </is>
      </c>
      <c r="U97" t="n">
        <v>4</v>
      </c>
      <c r="V97" t="n">
        <v>4</v>
      </c>
      <c r="W97" t="inlineStr">
        <is>
          <t>1994-12-08</t>
        </is>
      </c>
      <c r="X97" t="inlineStr">
        <is>
          <t>1994-12-08</t>
        </is>
      </c>
      <c r="Y97" t="inlineStr">
        <is>
          <t>1987-10-07</t>
        </is>
      </c>
      <c r="Z97" t="inlineStr">
        <is>
          <t>1987-10-07</t>
        </is>
      </c>
      <c r="AA97" t="n">
        <v>224</v>
      </c>
      <c r="AB97" t="n">
        <v>199</v>
      </c>
      <c r="AC97" t="n">
        <v>235</v>
      </c>
      <c r="AD97" t="n">
        <v>3</v>
      </c>
      <c r="AE97" t="n">
        <v>4</v>
      </c>
      <c r="AF97" t="n">
        <v>8</v>
      </c>
      <c r="AG97" t="n">
        <v>12</v>
      </c>
      <c r="AH97" t="n">
        <v>2</v>
      </c>
      <c r="AI97" t="n">
        <v>3</v>
      </c>
      <c r="AJ97" t="n">
        <v>1</v>
      </c>
      <c r="AK97" t="n">
        <v>2</v>
      </c>
      <c r="AL97" t="n">
        <v>4</v>
      </c>
      <c r="AM97" t="n">
        <v>5</v>
      </c>
      <c r="AN97" t="n">
        <v>2</v>
      </c>
      <c r="AO97" t="n">
        <v>3</v>
      </c>
      <c r="AP97" t="n">
        <v>0</v>
      </c>
      <c r="AQ97" t="n">
        <v>0</v>
      </c>
      <c r="AR97" t="inlineStr">
        <is>
          <t>Yes</t>
        </is>
      </c>
      <c r="AS97" t="inlineStr">
        <is>
          <t>No</t>
        </is>
      </c>
      <c r="AT97">
        <f>HYPERLINK("http://catalog.hathitrust.org/Record/001575454","HathiTrust Record")</f>
        <v/>
      </c>
      <c r="AU97">
        <f>HYPERLINK("https://creighton-primo.hosted.exlibrisgroup.com/primo-explore/search?tab=default_tab&amp;search_scope=EVERYTHING&amp;vid=01CRU&amp;lang=en_US&amp;offset=0&amp;query=any,contains,991001167859702656","Catalog Record")</f>
        <v/>
      </c>
      <c r="AV97">
        <f>HYPERLINK("http://www.worldcat.org/oclc/1837296","WorldCat Record")</f>
        <v/>
      </c>
      <c r="AW97" t="inlineStr">
        <is>
          <t>3901092080:eng</t>
        </is>
      </c>
      <c r="AX97" t="inlineStr">
        <is>
          <t>1837296</t>
        </is>
      </c>
      <c r="AY97" t="inlineStr">
        <is>
          <t>991001167859702656</t>
        </is>
      </c>
      <c r="AZ97" t="inlineStr">
        <is>
          <t>991001167859702656</t>
        </is>
      </c>
      <c r="BA97" t="inlineStr">
        <is>
          <t>2257661560002656</t>
        </is>
      </c>
      <c r="BB97" t="inlineStr">
        <is>
          <t>BOOK</t>
        </is>
      </c>
      <c r="BE97" t="inlineStr">
        <is>
          <t>30001000305732</t>
        </is>
      </c>
      <c r="BF97" t="inlineStr">
        <is>
          <t>893826513</t>
        </is>
      </c>
    </row>
    <row r="98">
      <c r="A98" t="inlineStr">
        <is>
          <t>No</t>
        </is>
      </c>
      <c r="B98" t="inlineStr">
        <is>
          <t>CUHSL</t>
        </is>
      </c>
      <c r="C98" t="inlineStr">
        <is>
          <t>SHELVES</t>
        </is>
      </c>
      <c r="D98" t="inlineStr">
        <is>
          <t>W 18 F619r 1987</t>
        </is>
      </c>
      <c r="E98" t="inlineStr">
        <is>
          <t>0                      W  0018000F  619r        1987</t>
        </is>
      </c>
      <c r="F98" t="inlineStr">
        <is>
          <t>FLEX review : preparation for the Federation Licensing Examination : 810 multiple-choice questions with referenced explanatory answers plus patient management problems / Michael A. Baker ... [et al.].</t>
        </is>
      </c>
      <c r="H98" t="inlineStr">
        <is>
          <t>No</t>
        </is>
      </c>
      <c r="I98" t="inlineStr">
        <is>
          <t>1</t>
        </is>
      </c>
      <c r="J98" t="inlineStr">
        <is>
          <t>No</t>
        </is>
      </c>
      <c r="K98" t="inlineStr">
        <is>
          <t>No</t>
        </is>
      </c>
      <c r="L98" t="inlineStr">
        <is>
          <t>0</t>
        </is>
      </c>
      <c r="N98" t="inlineStr">
        <is>
          <t>[New Hyde Park, NY] : Medical Examination Pub. Co., c1987.</t>
        </is>
      </c>
      <c r="O98" t="inlineStr">
        <is>
          <t>1987</t>
        </is>
      </c>
      <c r="P98" t="inlineStr">
        <is>
          <t>3rd ed.</t>
        </is>
      </c>
      <c r="Q98" t="inlineStr">
        <is>
          <t>eng</t>
        </is>
      </c>
      <c r="R98" t="inlineStr">
        <is>
          <t>nyu</t>
        </is>
      </c>
      <c r="T98" t="inlineStr">
        <is>
          <t xml:space="preserve">W  </t>
        </is>
      </c>
      <c r="U98" t="n">
        <v>22</v>
      </c>
      <c r="V98" t="n">
        <v>22</v>
      </c>
      <c r="W98" t="inlineStr">
        <is>
          <t>2002-02-04</t>
        </is>
      </c>
      <c r="X98" t="inlineStr">
        <is>
          <t>2002-02-04</t>
        </is>
      </c>
      <c r="Y98" t="inlineStr">
        <is>
          <t>1987-10-04</t>
        </is>
      </c>
      <c r="Z98" t="inlineStr">
        <is>
          <t>1987-10-04</t>
        </is>
      </c>
      <c r="AA98" t="n">
        <v>59</v>
      </c>
      <c r="AB98" t="n">
        <v>50</v>
      </c>
      <c r="AC98" t="n">
        <v>68</v>
      </c>
      <c r="AD98" t="n">
        <v>1</v>
      </c>
      <c r="AE98" t="n">
        <v>1</v>
      </c>
      <c r="AF98" t="n">
        <v>0</v>
      </c>
      <c r="AG98" t="n">
        <v>2</v>
      </c>
      <c r="AH98" t="n">
        <v>0</v>
      </c>
      <c r="AI98" t="n">
        <v>1</v>
      </c>
      <c r="AJ98" t="n">
        <v>0</v>
      </c>
      <c r="AK98" t="n">
        <v>1</v>
      </c>
      <c r="AL98" t="n">
        <v>0</v>
      </c>
      <c r="AM98" t="n">
        <v>0</v>
      </c>
      <c r="AN98" t="n">
        <v>0</v>
      </c>
      <c r="AO98" t="n">
        <v>0</v>
      </c>
      <c r="AP98" t="n">
        <v>0</v>
      </c>
      <c r="AQ98" t="n">
        <v>0</v>
      </c>
      <c r="AR98" t="inlineStr">
        <is>
          <t>No</t>
        </is>
      </c>
      <c r="AS98" t="inlineStr">
        <is>
          <t>Yes</t>
        </is>
      </c>
      <c r="AT98">
        <f>HYPERLINK("http://catalog.hathitrust.org/Record/000950247","HathiTrust Record")</f>
        <v/>
      </c>
      <c r="AU98">
        <f>HYPERLINK("https://creighton-primo.hosted.exlibrisgroup.com/primo-explore/search?tab=default_tab&amp;search_scope=EVERYTHING&amp;vid=01CRU&amp;lang=en_US&amp;offset=0&amp;query=any,contains,991001265239702656","Catalog Record")</f>
        <v/>
      </c>
      <c r="AV98">
        <f>HYPERLINK("http://www.worldcat.org/oclc/16524043","WorldCat Record")</f>
        <v/>
      </c>
      <c r="AW98" t="inlineStr">
        <is>
          <t>904909793:eng</t>
        </is>
      </c>
      <c r="AX98" t="inlineStr">
        <is>
          <t>16524043</t>
        </is>
      </c>
      <c r="AY98" t="inlineStr">
        <is>
          <t>991001265239702656</t>
        </is>
      </c>
      <c r="AZ98" t="inlineStr">
        <is>
          <t>991001265239702656</t>
        </is>
      </c>
      <c r="BA98" t="inlineStr">
        <is>
          <t>2262438500002656</t>
        </is>
      </c>
      <c r="BB98" t="inlineStr">
        <is>
          <t>BOOK</t>
        </is>
      </c>
      <c r="BD98" t="inlineStr">
        <is>
          <t>9780444011411</t>
        </is>
      </c>
      <c r="BE98" t="inlineStr">
        <is>
          <t>30001000352619</t>
        </is>
      </c>
      <c r="BF98" t="inlineStr">
        <is>
          <t>893465336</t>
        </is>
      </c>
    </row>
    <row r="99">
      <c r="A99" t="inlineStr">
        <is>
          <t>No</t>
        </is>
      </c>
      <c r="B99" t="inlineStr">
        <is>
          <t>CUHSL</t>
        </is>
      </c>
      <c r="C99" t="inlineStr">
        <is>
          <t>SHELVES</t>
        </is>
      </c>
      <c r="D99" t="inlineStr">
        <is>
          <t>W 18 F648 1986</t>
        </is>
      </c>
      <c r="E99" t="inlineStr">
        <is>
          <t>0                      W  0018000F  648         1986</t>
        </is>
      </c>
      <c r="F99" t="inlineStr">
        <is>
          <t>FMGEMS examination review / Majid Ali ... [et al.].</t>
        </is>
      </c>
      <c r="G99" t="inlineStr">
        <is>
          <t>V. 1</t>
        </is>
      </c>
      <c r="H99" t="inlineStr">
        <is>
          <t>No</t>
        </is>
      </c>
      <c r="I99" t="inlineStr">
        <is>
          <t>1</t>
        </is>
      </c>
      <c r="J99" t="inlineStr">
        <is>
          <t>No</t>
        </is>
      </c>
      <c r="K99" t="inlineStr">
        <is>
          <t>No</t>
        </is>
      </c>
      <c r="L99" t="inlineStr">
        <is>
          <t>0</t>
        </is>
      </c>
      <c r="N99" t="inlineStr">
        <is>
          <t>New York, N.Y. : Medical Examination Pub. Co., c1986.</t>
        </is>
      </c>
      <c r="O99" t="inlineStr">
        <is>
          <t>1986</t>
        </is>
      </c>
      <c r="P99" t="inlineStr">
        <is>
          <t>3rd ed.</t>
        </is>
      </c>
      <c r="Q99" t="inlineStr">
        <is>
          <t>eng</t>
        </is>
      </c>
      <c r="R99" t="inlineStr">
        <is>
          <t>xxu</t>
        </is>
      </c>
      <c r="T99" t="inlineStr">
        <is>
          <t xml:space="preserve">W  </t>
        </is>
      </c>
      <c r="U99" t="n">
        <v>3</v>
      </c>
      <c r="V99" t="n">
        <v>3</v>
      </c>
      <c r="W99" t="inlineStr">
        <is>
          <t>2002-02-04</t>
        </is>
      </c>
      <c r="X99" t="inlineStr">
        <is>
          <t>2002-02-04</t>
        </is>
      </c>
      <c r="Y99" t="inlineStr">
        <is>
          <t>1987-10-04</t>
        </is>
      </c>
      <c r="Z99" t="inlineStr">
        <is>
          <t>1987-10-04</t>
        </is>
      </c>
      <c r="AA99" t="n">
        <v>42</v>
      </c>
      <c r="AB99" t="n">
        <v>28</v>
      </c>
      <c r="AC99" t="n">
        <v>28</v>
      </c>
      <c r="AD99" t="n">
        <v>1</v>
      </c>
      <c r="AE99" t="n">
        <v>1</v>
      </c>
      <c r="AF99" t="n">
        <v>0</v>
      </c>
      <c r="AG99" t="n">
        <v>0</v>
      </c>
      <c r="AH99" t="n">
        <v>0</v>
      </c>
      <c r="AI99" t="n">
        <v>0</v>
      </c>
      <c r="AJ99" t="n">
        <v>0</v>
      </c>
      <c r="AK99" t="n">
        <v>0</v>
      </c>
      <c r="AL99" t="n">
        <v>0</v>
      </c>
      <c r="AM99" t="n">
        <v>0</v>
      </c>
      <c r="AN99" t="n">
        <v>0</v>
      </c>
      <c r="AO99" t="n">
        <v>0</v>
      </c>
      <c r="AP99" t="n">
        <v>0</v>
      </c>
      <c r="AQ99" t="n">
        <v>0</v>
      </c>
      <c r="AR99" t="inlineStr">
        <is>
          <t>No</t>
        </is>
      </c>
      <c r="AS99" t="inlineStr">
        <is>
          <t>No</t>
        </is>
      </c>
      <c r="AU99">
        <f>HYPERLINK("https://creighton-primo.hosted.exlibrisgroup.com/primo-explore/search?tab=default_tab&amp;search_scope=EVERYTHING&amp;vid=01CRU&amp;lang=en_US&amp;offset=0&amp;query=any,contains,991000757399702656","Catalog Record")</f>
        <v/>
      </c>
      <c r="AV99">
        <f>HYPERLINK("http://www.worldcat.org/oclc/13063989","WorldCat Record")</f>
        <v/>
      </c>
      <c r="AW99" t="inlineStr">
        <is>
          <t>4417449854:eng</t>
        </is>
      </c>
      <c r="AX99" t="inlineStr">
        <is>
          <t>13063989</t>
        </is>
      </c>
      <c r="AY99" t="inlineStr">
        <is>
          <t>991000757399702656</t>
        </is>
      </c>
      <c r="AZ99" t="inlineStr">
        <is>
          <t>991000757399702656</t>
        </is>
      </c>
      <c r="BA99" t="inlineStr">
        <is>
          <t>2265778270002656</t>
        </is>
      </c>
      <c r="BB99" t="inlineStr">
        <is>
          <t>BOOK</t>
        </is>
      </c>
      <c r="BD99" t="inlineStr">
        <is>
          <t>9780444010414</t>
        </is>
      </c>
      <c r="BE99" t="inlineStr">
        <is>
          <t>30001000054074</t>
        </is>
      </c>
      <c r="BF99" t="inlineStr">
        <is>
          <t>893731138</t>
        </is>
      </c>
    </row>
    <row r="100">
      <c r="A100" t="inlineStr">
        <is>
          <t>No</t>
        </is>
      </c>
      <c r="B100" t="inlineStr">
        <is>
          <t>CUHSL</t>
        </is>
      </c>
      <c r="C100" t="inlineStr">
        <is>
          <t>SHELVES</t>
        </is>
      </c>
      <c r="D100" t="inlineStr">
        <is>
          <t>W 18 H226t 1959</t>
        </is>
      </c>
      <c r="E100" t="inlineStr">
        <is>
          <t>0                      W  0018000H  226t        1959</t>
        </is>
      </c>
      <c r="F100" t="inlineStr">
        <is>
          <t>Teaching comprehensive medical care : a psychological study of a change in medical education / [by] Kenneth R. Hammond and Fred Kern, Jr. [with] Wayman J. Crow [and others].</t>
        </is>
      </c>
      <c r="H100" t="inlineStr">
        <is>
          <t>No</t>
        </is>
      </c>
      <c r="I100" t="inlineStr">
        <is>
          <t>1</t>
        </is>
      </c>
      <c r="J100" t="inlineStr">
        <is>
          <t>No</t>
        </is>
      </c>
      <c r="K100" t="inlineStr">
        <is>
          <t>No</t>
        </is>
      </c>
      <c r="L100" t="inlineStr">
        <is>
          <t>0</t>
        </is>
      </c>
      <c r="M100" t="inlineStr">
        <is>
          <t>Hammond, Kenneth R.</t>
        </is>
      </c>
      <c r="N100" t="inlineStr">
        <is>
          <t>Cambridge : published for the Commonwealth Fund by Harvard University Press, 1959.</t>
        </is>
      </c>
      <c r="O100" t="inlineStr">
        <is>
          <t>1959</t>
        </is>
      </c>
      <c r="Q100" t="inlineStr">
        <is>
          <t>eng</t>
        </is>
      </c>
      <c r="R100" t="inlineStr">
        <is>
          <t>mau</t>
        </is>
      </c>
      <c r="T100" t="inlineStr">
        <is>
          <t xml:space="preserve">W  </t>
        </is>
      </c>
      <c r="U100" t="n">
        <v>2</v>
      </c>
      <c r="V100" t="n">
        <v>2</v>
      </c>
      <c r="W100" t="inlineStr">
        <is>
          <t>1997-06-09</t>
        </is>
      </c>
      <c r="X100" t="inlineStr">
        <is>
          <t>1997-06-09</t>
        </is>
      </c>
      <c r="Y100" t="inlineStr">
        <is>
          <t>1987-10-08</t>
        </is>
      </c>
      <c r="Z100" t="inlineStr">
        <is>
          <t>1987-10-08</t>
        </is>
      </c>
      <c r="AA100" t="n">
        <v>184</v>
      </c>
      <c r="AB100" t="n">
        <v>140</v>
      </c>
      <c r="AC100" t="n">
        <v>147</v>
      </c>
      <c r="AD100" t="n">
        <v>1</v>
      </c>
      <c r="AE100" t="n">
        <v>1</v>
      </c>
      <c r="AF100" t="n">
        <v>1</v>
      </c>
      <c r="AG100" t="n">
        <v>1</v>
      </c>
      <c r="AH100" t="n">
        <v>0</v>
      </c>
      <c r="AI100" t="n">
        <v>0</v>
      </c>
      <c r="AJ100" t="n">
        <v>1</v>
      </c>
      <c r="AK100" t="n">
        <v>1</v>
      </c>
      <c r="AL100" t="n">
        <v>0</v>
      </c>
      <c r="AM100" t="n">
        <v>0</v>
      </c>
      <c r="AN100" t="n">
        <v>0</v>
      </c>
      <c r="AO100" t="n">
        <v>0</v>
      </c>
      <c r="AP100" t="n">
        <v>0</v>
      </c>
      <c r="AQ100" t="n">
        <v>0</v>
      </c>
      <c r="AR100" t="inlineStr">
        <is>
          <t>No</t>
        </is>
      </c>
      <c r="AS100" t="inlineStr">
        <is>
          <t>No</t>
        </is>
      </c>
      <c r="AT100">
        <f>HYPERLINK("http://catalog.hathitrust.org/Record/001558108","HathiTrust Record")</f>
        <v/>
      </c>
      <c r="AU100">
        <f>HYPERLINK("https://creighton-primo.hosted.exlibrisgroup.com/primo-explore/search?tab=default_tab&amp;search_scope=EVERYTHING&amp;vid=01CRU&amp;lang=en_US&amp;offset=0&amp;query=any,contains,991001167979702656","Catalog Record")</f>
        <v/>
      </c>
      <c r="AV100">
        <f>HYPERLINK("http://www.worldcat.org/oclc/919493","WorldCat Record")</f>
        <v/>
      </c>
      <c r="AW100" t="inlineStr">
        <is>
          <t>1863311:eng</t>
        </is>
      </c>
      <c r="AX100" t="inlineStr">
        <is>
          <t>919493</t>
        </is>
      </c>
      <c r="AY100" t="inlineStr">
        <is>
          <t>991001167979702656</t>
        </is>
      </c>
      <c r="AZ100" t="inlineStr">
        <is>
          <t>991001167979702656</t>
        </is>
      </c>
      <c r="BA100" t="inlineStr">
        <is>
          <t>2261131970002656</t>
        </is>
      </c>
      <c r="BB100" t="inlineStr">
        <is>
          <t>BOOK</t>
        </is>
      </c>
      <c r="BE100" t="inlineStr">
        <is>
          <t>30001000305815</t>
        </is>
      </c>
      <c r="BF100" t="inlineStr">
        <is>
          <t>893121234</t>
        </is>
      </c>
    </row>
    <row r="101">
      <c r="A101" t="inlineStr">
        <is>
          <t>No</t>
        </is>
      </c>
      <c r="B101" t="inlineStr">
        <is>
          <t>CUHSL</t>
        </is>
      </c>
      <c r="C101" t="inlineStr">
        <is>
          <t>SHELVES</t>
        </is>
      </c>
      <c r="D101" t="inlineStr">
        <is>
          <t>W 18 H296e 1988</t>
        </is>
      </c>
      <c r="E101" t="inlineStr">
        <is>
          <t>0                      W  0018000H  296e        1988</t>
        </is>
      </c>
      <c r="F101" t="inlineStr">
        <is>
          <t>The effective scutboy / Robert A. Harrell, Gary S. Firestein ; with an introduction by Philip Tumulty ; and contributions by Mark W. Woodruff.</t>
        </is>
      </c>
      <c r="H101" t="inlineStr">
        <is>
          <t>No</t>
        </is>
      </c>
      <c r="I101" t="inlineStr">
        <is>
          <t>1</t>
        </is>
      </c>
      <c r="J101" t="inlineStr">
        <is>
          <t>No</t>
        </is>
      </c>
      <c r="K101" t="inlineStr">
        <is>
          <t>No</t>
        </is>
      </c>
      <c r="L101" t="inlineStr">
        <is>
          <t>0</t>
        </is>
      </c>
      <c r="M101" t="inlineStr">
        <is>
          <t>Harrell, Robert A.</t>
        </is>
      </c>
      <c r="N101" t="inlineStr">
        <is>
          <t>Norwalk, CT : Appleton-Lange, c1988.</t>
        </is>
      </c>
      <c r="O101" t="inlineStr">
        <is>
          <t>1988</t>
        </is>
      </c>
      <c r="P101" t="inlineStr">
        <is>
          <t>3rd ed.</t>
        </is>
      </c>
      <c r="Q101" t="inlineStr">
        <is>
          <t>eng</t>
        </is>
      </c>
      <c r="R101" t="inlineStr">
        <is>
          <t>xxu</t>
        </is>
      </c>
      <c r="T101" t="inlineStr">
        <is>
          <t xml:space="preserve">W  </t>
        </is>
      </c>
      <c r="U101" t="n">
        <v>5</v>
      </c>
      <c r="V101" t="n">
        <v>5</v>
      </c>
      <c r="W101" t="inlineStr">
        <is>
          <t>1999-11-06</t>
        </is>
      </c>
      <c r="X101" t="inlineStr">
        <is>
          <t>1999-11-06</t>
        </is>
      </c>
      <c r="Y101" t="inlineStr">
        <is>
          <t>1995-11-03</t>
        </is>
      </c>
      <c r="Z101" t="inlineStr">
        <is>
          <t>1995-11-03</t>
        </is>
      </c>
      <c r="AA101" t="n">
        <v>59</v>
      </c>
      <c r="AB101" t="n">
        <v>53</v>
      </c>
      <c r="AC101" t="n">
        <v>81</v>
      </c>
      <c r="AD101" t="n">
        <v>1</v>
      </c>
      <c r="AE101" t="n">
        <v>1</v>
      </c>
      <c r="AF101" t="n">
        <v>0</v>
      </c>
      <c r="AG101" t="n">
        <v>0</v>
      </c>
      <c r="AH101" t="n">
        <v>0</v>
      </c>
      <c r="AI101" t="n">
        <v>0</v>
      </c>
      <c r="AJ101" t="n">
        <v>0</v>
      </c>
      <c r="AK101" t="n">
        <v>0</v>
      </c>
      <c r="AL101" t="n">
        <v>0</v>
      </c>
      <c r="AM101" t="n">
        <v>0</v>
      </c>
      <c r="AN101" t="n">
        <v>0</v>
      </c>
      <c r="AO101" t="n">
        <v>0</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HYPERLINK("https://creighton-primo.hosted.exlibrisgroup.com/primo-explore/search?tab=default_tab&amp;search_scope=EVERYTHING&amp;vid=01CRU&amp;lang=en_US&amp;offset=0&amp;query=any,contains,991000492739702656","Catalog Record")</f>
        <v/>
      </c>
      <c r="AV101">
        <f>HYPERLINK("http://www.worldcat.org/oclc/17805504","WorldCat Record")</f>
        <v/>
      </c>
      <c r="AW101" t="inlineStr">
        <is>
          <t>23966757:eng</t>
        </is>
      </c>
      <c r="AX101" t="inlineStr">
        <is>
          <t>17805504</t>
        </is>
      </c>
      <c r="AY101" t="inlineStr">
        <is>
          <t>991000492739702656</t>
        </is>
      </c>
      <c r="AZ101" t="inlineStr">
        <is>
          <t>991000492739702656</t>
        </is>
      </c>
      <c r="BA101" t="inlineStr">
        <is>
          <t>2264453470002656</t>
        </is>
      </c>
      <c r="BB101" t="inlineStr">
        <is>
          <t>BOOK</t>
        </is>
      </c>
      <c r="BD101" t="inlineStr">
        <is>
          <t>9780838521205</t>
        </is>
      </c>
      <c r="BE101" t="inlineStr">
        <is>
          <t>30001003261734</t>
        </is>
      </c>
      <c r="BF101" t="inlineStr">
        <is>
          <t>893280268</t>
        </is>
      </c>
    </row>
    <row r="102">
      <c r="A102" t="inlineStr">
        <is>
          <t>No</t>
        </is>
      </c>
      <c r="B102" t="inlineStr">
        <is>
          <t>CUHSL</t>
        </is>
      </c>
      <c r="C102" t="inlineStr">
        <is>
          <t>SHELVES</t>
        </is>
      </c>
      <c r="D102" t="inlineStr">
        <is>
          <t>W 18 H939m 1991</t>
        </is>
      </c>
      <c r="E102" t="inlineStr">
        <is>
          <t>0                      W  0018000H  939m        1991</t>
        </is>
      </c>
      <c r="F102" t="inlineStr">
        <is>
          <t>Medical education, accreditation, and the nation's health : reflections of an atypical dean / Andrew D. Hunt.</t>
        </is>
      </c>
      <c r="H102" t="inlineStr">
        <is>
          <t>No</t>
        </is>
      </c>
      <c r="I102" t="inlineStr">
        <is>
          <t>1</t>
        </is>
      </c>
      <c r="J102" t="inlineStr">
        <is>
          <t>No</t>
        </is>
      </c>
      <c r="K102" t="inlineStr">
        <is>
          <t>No</t>
        </is>
      </c>
      <c r="L102" t="inlineStr">
        <is>
          <t>0</t>
        </is>
      </c>
      <c r="M102" t="inlineStr">
        <is>
          <t>Hunt, Andrew D., 1915-</t>
        </is>
      </c>
      <c r="N102" t="inlineStr">
        <is>
          <t>East Lansing, Mich. : Michigan State University Press, c1991.</t>
        </is>
      </c>
      <c r="O102" t="inlineStr">
        <is>
          <t>1991</t>
        </is>
      </c>
      <c r="Q102" t="inlineStr">
        <is>
          <t>eng</t>
        </is>
      </c>
      <c r="R102" t="inlineStr">
        <is>
          <t>miu</t>
        </is>
      </c>
      <c r="T102" t="inlineStr">
        <is>
          <t xml:space="preserve">W  </t>
        </is>
      </c>
      <c r="U102" t="n">
        <v>4</v>
      </c>
      <c r="V102" t="n">
        <v>4</v>
      </c>
      <c r="W102" t="inlineStr">
        <is>
          <t>1991-12-10</t>
        </is>
      </c>
      <c r="X102" t="inlineStr">
        <is>
          <t>1991-12-10</t>
        </is>
      </c>
      <c r="Y102" t="inlineStr">
        <is>
          <t>1991-12-03</t>
        </is>
      </c>
      <c r="Z102" t="inlineStr">
        <is>
          <t>1991-12-03</t>
        </is>
      </c>
      <c r="AA102" t="n">
        <v>107</v>
      </c>
      <c r="AB102" t="n">
        <v>94</v>
      </c>
      <c r="AC102" t="n">
        <v>97</v>
      </c>
      <c r="AD102" t="n">
        <v>1</v>
      </c>
      <c r="AE102" t="n">
        <v>1</v>
      </c>
      <c r="AF102" t="n">
        <v>5</v>
      </c>
      <c r="AG102" t="n">
        <v>5</v>
      </c>
      <c r="AH102" t="n">
        <v>2</v>
      </c>
      <c r="AI102" t="n">
        <v>2</v>
      </c>
      <c r="AJ102" t="n">
        <v>2</v>
      </c>
      <c r="AK102" t="n">
        <v>2</v>
      </c>
      <c r="AL102" t="n">
        <v>2</v>
      </c>
      <c r="AM102" t="n">
        <v>2</v>
      </c>
      <c r="AN102" t="n">
        <v>0</v>
      </c>
      <c r="AO102" t="n">
        <v>0</v>
      </c>
      <c r="AP102" t="n">
        <v>0</v>
      </c>
      <c r="AQ102" t="n">
        <v>0</v>
      </c>
      <c r="AR102" t="inlineStr">
        <is>
          <t>No</t>
        </is>
      </c>
      <c r="AS102" t="inlineStr">
        <is>
          <t>Yes</t>
        </is>
      </c>
      <c r="AT102">
        <f>HYPERLINK("http://catalog.hathitrust.org/Record/002471473","HathiTrust Record")</f>
        <v/>
      </c>
      <c r="AU102">
        <f>HYPERLINK("https://creighton-primo.hosted.exlibrisgroup.com/primo-explore/search?tab=default_tab&amp;search_scope=EVERYTHING&amp;vid=01CRU&amp;lang=en_US&amp;offset=0&amp;query=any,contains,991001025019702656","Catalog Record")</f>
        <v/>
      </c>
      <c r="AV102">
        <f>HYPERLINK("http://www.worldcat.org/oclc/22810164","WorldCat Record")</f>
        <v/>
      </c>
      <c r="AW102" t="inlineStr">
        <is>
          <t>143987347:eng</t>
        </is>
      </c>
      <c r="AX102" t="inlineStr">
        <is>
          <t>22810164</t>
        </is>
      </c>
      <c r="AY102" t="inlineStr">
        <is>
          <t>991001025019702656</t>
        </is>
      </c>
      <c r="AZ102" t="inlineStr">
        <is>
          <t>991001025019702656</t>
        </is>
      </c>
      <c r="BA102" t="inlineStr">
        <is>
          <t>2265666770002656</t>
        </is>
      </c>
      <c r="BB102" t="inlineStr">
        <is>
          <t>BOOK</t>
        </is>
      </c>
      <c r="BD102" t="inlineStr">
        <is>
          <t>9780870132889</t>
        </is>
      </c>
      <c r="BE102" t="inlineStr">
        <is>
          <t>30001002242479</t>
        </is>
      </c>
      <c r="BF102" t="inlineStr">
        <is>
          <t>893826382</t>
        </is>
      </c>
    </row>
    <row r="103">
      <c r="A103" t="inlineStr">
        <is>
          <t>No</t>
        </is>
      </c>
      <c r="B103" t="inlineStr">
        <is>
          <t>CUHSL</t>
        </is>
      </c>
      <c r="C103" t="inlineStr">
        <is>
          <t>SHELVES</t>
        </is>
      </c>
      <c r="D103" t="inlineStr">
        <is>
          <t>W 18 I31 1969</t>
        </is>
      </c>
      <c r="E103" t="inlineStr">
        <is>
          <t>0                      W  0018000I  31          1969</t>
        </is>
      </c>
      <c r="F103" t="inlineStr">
        <is>
          <t>The Impact of cultural and economic background on programs to recruit Negroes for medicine : addresses presented at a Macy conference, Princeton, New Jersey, April 13-16, 1969.</t>
        </is>
      </c>
      <c r="H103" t="inlineStr">
        <is>
          <t>No</t>
        </is>
      </c>
      <c r="I103" t="inlineStr">
        <is>
          <t>1</t>
        </is>
      </c>
      <c r="J103" t="inlineStr">
        <is>
          <t>No</t>
        </is>
      </c>
      <c r="K103" t="inlineStr">
        <is>
          <t>No</t>
        </is>
      </c>
      <c r="L103" t="inlineStr">
        <is>
          <t>0</t>
        </is>
      </c>
      <c r="N103" t="inlineStr">
        <is>
          <t>[New York] : Josiah Macy, Jr. Foundation, 1970?.</t>
        </is>
      </c>
      <c r="O103" t="inlineStr">
        <is>
          <t>1970</t>
        </is>
      </c>
      <c r="Q103" t="inlineStr">
        <is>
          <t>eng</t>
        </is>
      </c>
      <c r="R103" t="inlineStr">
        <is>
          <t>nyu</t>
        </is>
      </c>
      <c r="T103" t="inlineStr">
        <is>
          <t xml:space="preserve">W  </t>
        </is>
      </c>
      <c r="U103" t="n">
        <v>2</v>
      </c>
      <c r="V103" t="n">
        <v>2</v>
      </c>
      <c r="W103" t="inlineStr">
        <is>
          <t>1992-11-14</t>
        </is>
      </c>
      <c r="X103" t="inlineStr">
        <is>
          <t>1992-11-14</t>
        </is>
      </c>
      <c r="Y103" t="inlineStr">
        <is>
          <t>1987-10-08</t>
        </is>
      </c>
      <c r="Z103" t="inlineStr">
        <is>
          <t>1987-10-08</t>
        </is>
      </c>
      <c r="AA103" t="n">
        <v>11</v>
      </c>
      <c r="AB103" t="n">
        <v>10</v>
      </c>
      <c r="AC103" t="n">
        <v>19</v>
      </c>
      <c r="AD103" t="n">
        <v>1</v>
      </c>
      <c r="AE103" t="n">
        <v>1</v>
      </c>
      <c r="AF103" t="n">
        <v>0</v>
      </c>
      <c r="AG103" t="n">
        <v>0</v>
      </c>
      <c r="AH103" t="n">
        <v>0</v>
      </c>
      <c r="AI103" t="n">
        <v>0</v>
      </c>
      <c r="AJ103" t="n">
        <v>0</v>
      </c>
      <c r="AK103" t="n">
        <v>0</v>
      </c>
      <c r="AL103" t="n">
        <v>0</v>
      </c>
      <c r="AM103" t="n">
        <v>0</v>
      </c>
      <c r="AN103" t="n">
        <v>0</v>
      </c>
      <c r="AO103" t="n">
        <v>0</v>
      </c>
      <c r="AP103" t="n">
        <v>0</v>
      </c>
      <c r="AQ103" t="n">
        <v>0</v>
      </c>
      <c r="AR103" t="inlineStr">
        <is>
          <t>No</t>
        </is>
      </c>
      <c r="AS103" t="inlineStr">
        <is>
          <t>Yes</t>
        </is>
      </c>
      <c r="AT103">
        <f>HYPERLINK("http://catalog.hathitrust.org/Record/010596534","HathiTrust Record")</f>
        <v/>
      </c>
      <c r="AU103">
        <f>HYPERLINK("https://creighton-primo.hosted.exlibrisgroup.com/primo-explore/search?tab=default_tab&amp;search_scope=EVERYTHING&amp;vid=01CRU&amp;lang=en_US&amp;offset=0&amp;query=any,contains,991001168169702656","Catalog Record")</f>
        <v/>
      </c>
      <c r="AV103">
        <f>HYPERLINK("http://www.worldcat.org/oclc/14483919","WorldCat Record")</f>
        <v/>
      </c>
      <c r="AW103" t="inlineStr">
        <is>
          <t>8905384:eng</t>
        </is>
      </c>
      <c r="AX103" t="inlineStr">
        <is>
          <t>14483919</t>
        </is>
      </c>
      <c r="AY103" t="inlineStr">
        <is>
          <t>991001168169702656</t>
        </is>
      </c>
      <c r="AZ103" t="inlineStr">
        <is>
          <t>991001168169702656</t>
        </is>
      </c>
      <c r="BA103" t="inlineStr">
        <is>
          <t>2270674960002656</t>
        </is>
      </c>
      <c r="BB103" t="inlineStr">
        <is>
          <t>BOOK</t>
        </is>
      </c>
      <c r="BE103" t="inlineStr">
        <is>
          <t>30001000305880</t>
        </is>
      </c>
      <c r="BF103" t="inlineStr">
        <is>
          <t>893268158</t>
        </is>
      </c>
    </row>
    <row r="104">
      <c r="A104" t="inlineStr">
        <is>
          <t>No</t>
        </is>
      </c>
      <c r="B104" t="inlineStr">
        <is>
          <t>CUHSL</t>
        </is>
      </c>
      <c r="C104" t="inlineStr">
        <is>
          <t>SHELVES</t>
        </is>
      </c>
      <c r="D104" t="inlineStr">
        <is>
          <t>W 18 I54 1995</t>
        </is>
      </c>
      <c r="E104" t="inlineStr">
        <is>
          <t>0                      W  0018000I  54          1995</t>
        </is>
      </c>
      <c r="F104" t="inlineStr">
        <is>
          <t>The instant exam review for the USMLE, step 3 / [edited by] Joel S. Goldberg.</t>
        </is>
      </c>
      <c r="H104" t="inlineStr">
        <is>
          <t>No</t>
        </is>
      </c>
      <c r="I104" t="inlineStr">
        <is>
          <t>1</t>
        </is>
      </c>
      <c r="J104" t="inlineStr">
        <is>
          <t>No</t>
        </is>
      </c>
      <c r="K104" t="inlineStr">
        <is>
          <t>No</t>
        </is>
      </c>
      <c r="L104" t="inlineStr">
        <is>
          <t>0</t>
        </is>
      </c>
      <c r="N104" t="inlineStr">
        <is>
          <t>Norwalk, Conn. : Appleton &amp; Lange, c1995.</t>
        </is>
      </c>
      <c r="O104" t="inlineStr">
        <is>
          <t>1995</t>
        </is>
      </c>
      <c r="Q104" t="inlineStr">
        <is>
          <t>eng</t>
        </is>
      </c>
      <c r="R104" t="inlineStr">
        <is>
          <t>ctu</t>
        </is>
      </c>
      <c r="S104" t="inlineStr">
        <is>
          <t>Appleton &amp; Lange review series</t>
        </is>
      </c>
      <c r="T104" t="inlineStr">
        <is>
          <t xml:space="preserve">W  </t>
        </is>
      </c>
      <c r="U104" t="n">
        <v>39</v>
      </c>
      <c r="V104" t="n">
        <v>39</v>
      </c>
      <c r="W104" t="inlineStr">
        <is>
          <t>2002-11-14</t>
        </is>
      </c>
      <c r="X104" t="inlineStr">
        <is>
          <t>2002-11-14</t>
        </is>
      </c>
      <c r="Y104" t="inlineStr">
        <is>
          <t>1995-02-24</t>
        </is>
      </c>
      <c r="Z104" t="inlineStr">
        <is>
          <t>1995-02-24</t>
        </is>
      </c>
      <c r="AA104" t="n">
        <v>46</v>
      </c>
      <c r="AB104" t="n">
        <v>36</v>
      </c>
      <c r="AC104" t="n">
        <v>57</v>
      </c>
      <c r="AD104" t="n">
        <v>1</v>
      </c>
      <c r="AE104" t="n">
        <v>1</v>
      </c>
      <c r="AF104" t="n">
        <v>1</v>
      </c>
      <c r="AG104" t="n">
        <v>1</v>
      </c>
      <c r="AH104" t="n">
        <v>0</v>
      </c>
      <c r="AI104" t="n">
        <v>0</v>
      </c>
      <c r="AJ104" t="n">
        <v>1</v>
      </c>
      <c r="AK104" t="n">
        <v>1</v>
      </c>
      <c r="AL104" t="n">
        <v>0</v>
      </c>
      <c r="AM104" t="n">
        <v>0</v>
      </c>
      <c r="AN104" t="n">
        <v>0</v>
      </c>
      <c r="AO104" t="n">
        <v>0</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HYPERLINK("https://creighton-primo.hosted.exlibrisgroup.com/primo-explore/search?tab=default_tab&amp;search_scope=EVERYTHING&amp;vid=01CRU&amp;lang=en_US&amp;offset=0&amp;query=any,contains,991001397479702656","Catalog Record")</f>
        <v/>
      </c>
      <c r="AV104">
        <f>HYPERLINK("http://www.worldcat.org/oclc/30919284","WorldCat Record")</f>
        <v/>
      </c>
      <c r="AW104" t="inlineStr">
        <is>
          <t>3769564116:eng</t>
        </is>
      </c>
      <c r="AX104" t="inlineStr">
        <is>
          <t>30919284</t>
        </is>
      </c>
      <c r="AY104" t="inlineStr">
        <is>
          <t>991001397479702656</t>
        </is>
      </c>
      <c r="AZ104" t="inlineStr">
        <is>
          <t>991001397479702656</t>
        </is>
      </c>
      <c r="BA104" t="inlineStr">
        <is>
          <t>2264848490002656</t>
        </is>
      </c>
      <c r="BB104" t="inlineStr">
        <is>
          <t>BOOK</t>
        </is>
      </c>
      <c r="BD104" t="inlineStr">
        <is>
          <t>9780838543344</t>
        </is>
      </c>
      <c r="BE104" t="inlineStr">
        <is>
          <t>30001003146554</t>
        </is>
      </c>
      <c r="BF104" t="inlineStr">
        <is>
          <t>893633017</t>
        </is>
      </c>
    </row>
    <row r="105">
      <c r="A105" t="inlineStr">
        <is>
          <t>No</t>
        </is>
      </c>
      <c r="B105" t="inlineStr">
        <is>
          <t>CUHSL</t>
        </is>
      </c>
      <c r="C105" t="inlineStr">
        <is>
          <t>SHELVES</t>
        </is>
      </c>
      <c r="D105" t="inlineStr">
        <is>
          <t>W 18 K21a 1976</t>
        </is>
      </c>
      <c r="E105" t="inlineStr">
        <is>
          <t>0                      W  0018000K  21a         1976</t>
        </is>
      </c>
      <c r="F105" t="inlineStr">
        <is>
          <t>American medical education : the formative years, 1765-1910 / Martin Kaufman.</t>
        </is>
      </c>
      <c r="H105" t="inlineStr">
        <is>
          <t>No</t>
        </is>
      </c>
      <c r="I105" t="inlineStr">
        <is>
          <t>1</t>
        </is>
      </c>
      <c r="J105" t="inlineStr">
        <is>
          <t>No</t>
        </is>
      </c>
      <c r="K105" t="inlineStr">
        <is>
          <t>No</t>
        </is>
      </c>
      <c r="L105" t="inlineStr">
        <is>
          <t>0</t>
        </is>
      </c>
      <c r="M105" t="inlineStr">
        <is>
          <t>Kaufman, Martin, 1940-</t>
        </is>
      </c>
      <c r="N105" t="inlineStr">
        <is>
          <t>Westport, Conn. : Greenwood Press, 1976.</t>
        </is>
      </c>
      <c r="O105" t="inlineStr">
        <is>
          <t>1976</t>
        </is>
      </c>
      <c r="Q105" t="inlineStr">
        <is>
          <t>eng</t>
        </is>
      </c>
      <c r="R105" t="inlineStr">
        <is>
          <t>ctu</t>
        </is>
      </c>
      <c r="T105" t="inlineStr">
        <is>
          <t xml:space="preserve">W  </t>
        </is>
      </c>
      <c r="U105" t="n">
        <v>6</v>
      </c>
      <c r="V105" t="n">
        <v>6</v>
      </c>
      <c r="W105" t="inlineStr">
        <is>
          <t>1989-11-02</t>
        </is>
      </c>
      <c r="X105" t="inlineStr">
        <is>
          <t>1989-11-02</t>
        </is>
      </c>
      <c r="Y105" t="inlineStr">
        <is>
          <t>1987-10-07</t>
        </is>
      </c>
      <c r="Z105" t="inlineStr">
        <is>
          <t>1987-10-07</t>
        </is>
      </c>
      <c r="AA105" t="n">
        <v>497</v>
      </c>
      <c r="AB105" t="n">
        <v>448</v>
      </c>
      <c r="AC105" t="n">
        <v>455</v>
      </c>
      <c r="AD105" t="n">
        <v>3</v>
      </c>
      <c r="AE105" t="n">
        <v>3</v>
      </c>
      <c r="AF105" t="n">
        <v>14</v>
      </c>
      <c r="AG105" t="n">
        <v>14</v>
      </c>
      <c r="AH105" t="n">
        <v>2</v>
      </c>
      <c r="AI105" t="n">
        <v>2</v>
      </c>
      <c r="AJ105" t="n">
        <v>3</v>
      </c>
      <c r="AK105" t="n">
        <v>3</v>
      </c>
      <c r="AL105" t="n">
        <v>8</v>
      </c>
      <c r="AM105" t="n">
        <v>8</v>
      </c>
      <c r="AN105" t="n">
        <v>2</v>
      </c>
      <c r="AO105" t="n">
        <v>2</v>
      </c>
      <c r="AP105" t="n">
        <v>0</v>
      </c>
      <c r="AQ105" t="n">
        <v>0</v>
      </c>
      <c r="AR105" t="inlineStr">
        <is>
          <t>No</t>
        </is>
      </c>
      <c r="AS105" t="inlineStr">
        <is>
          <t>Yes</t>
        </is>
      </c>
      <c r="AT105">
        <f>HYPERLINK("http://catalog.hathitrust.org/Record/000690859","HathiTrust Record")</f>
        <v/>
      </c>
      <c r="AU105">
        <f>HYPERLINK("https://creighton-primo.hosted.exlibrisgroup.com/primo-explore/search?tab=default_tab&amp;search_scope=EVERYTHING&amp;vid=01CRU&amp;lang=en_US&amp;offset=0&amp;query=any,contains,991001168639702656","Catalog Record")</f>
        <v/>
      </c>
      <c r="AV105">
        <f>HYPERLINK("http://www.worldcat.org/oclc/2047928","WorldCat Record")</f>
        <v/>
      </c>
      <c r="AW105" t="inlineStr">
        <is>
          <t>501579:eng</t>
        </is>
      </c>
      <c r="AX105" t="inlineStr">
        <is>
          <t>2047928</t>
        </is>
      </c>
      <c r="AY105" t="inlineStr">
        <is>
          <t>991001168639702656</t>
        </is>
      </c>
      <c r="AZ105" t="inlineStr">
        <is>
          <t>991001168639702656</t>
        </is>
      </c>
      <c r="BA105" t="inlineStr">
        <is>
          <t>2270684370002656</t>
        </is>
      </c>
      <c r="BB105" t="inlineStr">
        <is>
          <t>BOOK</t>
        </is>
      </c>
      <c r="BD105" t="inlineStr">
        <is>
          <t>9780837185903</t>
        </is>
      </c>
      <c r="BE105" t="inlineStr">
        <is>
          <t>30001000306284</t>
        </is>
      </c>
      <c r="BF105" t="inlineStr">
        <is>
          <t>893731722</t>
        </is>
      </c>
    </row>
    <row r="106">
      <c r="A106" t="inlineStr">
        <is>
          <t>No</t>
        </is>
      </c>
      <c r="B106" t="inlineStr">
        <is>
          <t>CUHSL</t>
        </is>
      </c>
      <c r="C106" t="inlineStr">
        <is>
          <t>SHELVES</t>
        </is>
      </c>
      <c r="D106" t="inlineStr">
        <is>
          <t>W 18 K69d 1981</t>
        </is>
      </c>
      <c r="E106" t="inlineStr">
        <is>
          <t>0                      W  0018000K  69d         1981</t>
        </is>
      </c>
      <c r="F106" t="inlineStr">
        <is>
          <t>Doctor-to-be : coping with the trials and triumphs of medical school / James A. Knight ; foreword by Charles C. Sprague.</t>
        </is>
      </c>
      <c r="H106" t="inlineStr">
        <is>
          <t>No</t>
        </is>
      </c>
      <c r="I106" t="inlineStr">
        <is>
          <t>1</t>
        </is>
      </c>
      <c r="J106" t="inlineStr">
        <is>
          <t>No</t>
        </is>
      </c>
      <c r="K106" t="inlineStr">
        <is>
          <t>No</t>
        </is>
      </c>
      <c r="L106" t="inlineStr">
        <is>
          <t>0</t>
        </is>
      </c>
      <c r="M106" t="inlineStr">
        <is>
          <t>Knight, James A., 1918-1998.</t>
        </is>
      </c>
      <c r="N106" t="inlineStr">
        <is>
          <t>New York : Appleton-Century-Crofts, c1981.</t>
        </is>
      </c>
      <c r="O106" t="inlineStr">
        <is>
          <t>1981</t>
        </is>
      </c>
      <c r="Q106" t="inlineStr">
        <is>
          <t>eng</t>
        </is>
      </c>
      <c r="R106" t="inlineStr">
        <is>
          <t>nyu</t>
        </is>
      </c>
      <c r="T106" t="inlineStr">
        <is>
          <t xml:space="preserve">W  </t>
        </is>
      </c>
      <c r="U106" t="n">
        <v>7</v>
      </c>
      <c r="V106" t="n">
        <v>7</v>
      </c>
      <c r="W106" t="inlineStr">
        <is>
          <t>1999-05-20</t>
        </is>
      </c>
      <c r="X106" t="inlineStr">
        <is>
          <t>1999-05-20</t>
        </is>
      </c>
      <c r="Y106" t="inlineStr">
        <is>
          <t>1987-09-25</t>
        </is>
      </c>
      <c r="Z106" t="inlineStr">
        <is>
          <t>1987-09-25</t>
        </is>
      </c>
      <c r="AA106" t="n">
        <v>133</v>
      </c>
      <c r="AB106" t="n">
        <v>112</v>
      </c>
      <c r="AC106" t="n">
        <v>112</v>
      </c>
      <c r="AD106" t="n">
        <v>1</v>
      </c>
      <c r="AE106" t="n">
        <v>1</v>
      </c>
      <c r="AF106" t="n">
        <v>0</v>
      </c>
      <c r="AG106" t="n">
        <v>0</v>
      </c>
      <c r="AH106" t="n">
        <v>0</v>
      </c>
      <c r="AI106" t="n">
        <v>0</v>
      </c>
      <c r="AJ106" t="n">
        <v>0</v>
      </c>
      <c r="AK106" t="n">
        <v>0</v>
      </c>
      <c r="AL106" t="n">
        <v>0</v>
      </c>
      <c r="AM106" t="n">
        <v>0</v>
      </c>
      <c r="AN106" t="n">
        <v>0</v>
      </c>
      <c r="AO106" t="n">
        <v>0</v>
      </c>
      <c r="AP106" t="n">
        <v>0</v>
      </c>
      <c r="AQ106" t="n">
        <v>0</v>
      </c>
      <c r="AR106" t="inlineStr">
        <is>
          <t>No</t>
        </is>
      </c>
      <c r="AS106" t="inlineStr">
        <is>
          <t>No</t>
        </is>
      </c>
      <c r="AU106">
        <f>HYPERLINK("https://creighton-primo.hosted.exlibrisgroup.com/primo-explore/search?tab=default_tab&amp;search_scope=EVERYTHING&amp;vid=01CRU&amp;lang=en_US&amp;offset=0&amp;query=any,contains,991001168599702656","Catalog Record")</f>
        <v/>
      </c>
      <c r="AV106">
        <f>HYPERLINK("http://www.worldcat.org/oclc/7781362","WorldCat Record")</f>
        <v/>
      </c>
      <c r="AW106" t="inlineStr">
        <is>
          <t>503020:eng</t>
        </is>
      </c>
      <c r="AX106" t="inlineStr">
        <is>
          <t>7781362</t>
        </is>
      </c>
      <c r="AY106" t="inlineStr">
        <is>
          <t>991001168599702656</t>
        </is>
      </c>
      <c r="AZ106" t="inlineStr">
        <is>
          <t>991001168599702656</t>
        </is>
      </c>
      <c r="BA106" t="inlineStr">
        <is>
          <t>2262936100002656</t>
        </is>
      </c>
      <c r="BB106" t="inlineStr">
        <is>
          <t>BOOK</t>
        </is>
      </c>
      <c r="BD106" t="inlineStr">
        <is>
          <t>9780838517215</t>
        </is>
      </c>
      <c r="BE106" t="inlineStr">
        <is>
          <t>30001000306276</t>
        </is>
      </c>
      <c r="BF106" t="inlineStr">
        <is>
          <t>893826514</t>
        </is>
      </c>
    </row>
    <row r="107">
      <c r="A107" t="inlineStr">
        <is>
          <t>No</t>
        </is>
      </c>
      <c r="B107" t="inlineStr">
        <is>
          <t>CUHSL</t>
        </is>
      </c>
      <c r="C107" t="inlineStr">
        <is>
          <t>SHELVES</t>
        </is>
      </c>
      <c r="D107" t="inlineStr">
        <is>
          <t>W 18 L164e 1994</t>
        </is>
      </c>
      <c r="E107" t="inlineStr">
        <is>
          <t>0                      W  0018000L  164e        1994</t>
        </is>
      </c>
      <c r="F107" t="inlineStr">
        <is>
          <t>Exploring medical language : a student-directed approach / Myrna LaFleur Brooks ; illustrations by May S. Cheney and Kimberly Battista.</t>
        </is>
      </c>
      <c r="H107" t="inlineStr">
        <is>
          <t>No</t>
        </is>
      </c>
      <c r="I107" t="inlineStr">
        <is>
          <t>1</t>
        </is>
      </c>
      <c r="J107" t="inlineStr">
        <is>
          <t>No</t>
        </is>
      </c>
      <c r="K107" t="inlineStr">
        <is>
          <t>Yes</t>
        </is>
      </c>
      <c r="L107" t="inlineStr">
        <is>
          <t>0</t>
        </is>
      </c>
      <c r="M107" t="inlineStr">
        <is>
          <t>LaFleur-Brooks, Myrna.</t>
        </is>
      </c>
      <c r="N107" t="inlineStr">
        <is>
          <t>St. Louis : Mosby Lifeline, c1994.</t>
        </is>
      </c>
      <c r="O107" t="inlineStr">
        <is>
          <t>1994</t>
        </is>
      </c>
      <c r="P107" t="inlineStr">
        <is>
          <t>3rd ed.</t>
        </is>
      </c>
      <c r="Q107" t="inlineStr">
        <is>
          <t>eng</t>
        </is>
      </c>
      <c r="R107" t="inlineStr">
        <is>
          <t>mou</t>
        </is>
      </c>
      <c r="T107" t="inlineStr">
        <is>
          <t xml:space="preserve">W  </t>
        </is>
      </c>
      <c r="U107" t="n">
        <v>9</v>
      </c>
      <c r="V107" t="n">
        <v>9</v>
      </c>
      <c r="W107" t="inlineStr">
        <is>
          <t>2001-06-27</t>
        </is>
      </c>
      <c r="X107" t="inlineStr">
        <is>
          <t>2001-06-27</t>
        </is>
      </c>
      <c r="Y107" t="inlineStr">
        <is>
          <t>1994-05-26</t>
        </is>
      </c>
      <c r="Z107" t="inlineStr">
        <is>
          <t>1994-05-26</t>
        </is>
      </c>
      <c r="AA107" t="n">
        <v>139</v>
      </c>
      <c r="AB107" t="n">
        <v>118</v>
      </c>
      <c r="AC107" t="n">
        <v>663</v>
      </c>
      <c r="AD107" t="n">
        <v>1</v>
      </c>
      <c r="AE107" t="n">
        <v>4</v>
      </c>
      <c r="AF107" t="n">
        <v>2</v>
      </c>
      <c r="AG107" t="n">
        <v>11</v>
      </c>
      <c r="AH107" t="n">
        <v>0</v>
      </c>
      <c r="AI107" t="n">
        <v>2</v>
      </c>
      <c r="AJ107" t="n">
        <v>2</v>
      </c>
      <c r="AK107" t="n">
        <v>3</v>
      </c>
      <c r="AL107" t="n">
        <v>2</v>
      </c>
      <c r="AM107" t="n">
        <v>6</v>
      </c>
      <c r="AN107" t="n">
        <v>0</v>
      </c>
      <c r="AO107" t="n">
        <v>3</v>
      </c>
      <c r="AP107" t="n">
        <v>0</v>
      </c>
      <c r="AQ107" t="n">
        <v>0</v>
      </c>
      <c r="AR107" t="inlineStr">
        <is>
          <t>No</t>
        </is>
      </c>
      <c r="AS107" t="inlineStr">
        <is>
          <t>Yes</t>
        </is>
      </c>
      <c r="AT107">
        <f>HYPERLINK("http://catalog.hathitrust.org/Record/004538893","HathiTrust Record")</f>
        <v/>
      </c>
      <c r="AU107">
        <f>HYPERLINK("https://creighton-primo.hosted.exlibrisgroup.com/primo-explore/search?tab=default_tab&amp;search_scope=EVERYTHING&amp;vid=01CRU&amp;lang=en_US&amp;offset=0&amp;query=any,contains,991001194739702656","Catalog Record")</f>
        <v/>
      </c>
      <c r="AV107">
        <f>HYPERLINK("http://www.worldcat.org/oclc/30914966","WorldCat Record")</f>
        <v/>
      </c>
      <c r="AW107" t="inlineStr">
        <is>
          <t>796408741:eng</t>
        </is>
      </c>
      <c r="AX107" t="inlineStr">
        <is>
          <t>30914966</t>
        </is>
      </c>
      <c r="AY107" t="inlineStr">
        <is>
          <t>991001194739702656</t>
        </is>
      </c>
      <c r="AZ107" t="inlineStr">
        <is>
          <t>991001194739702656</t>
        </is>
      </c>
      <c r="BA107" t="inlineStr">
        <is>
          <t>2255799230002656</t>
        </is>
      </c>
      <c r="BB107" t="inlineStr">
        <is>
          <t>BOOK</t>
        </is>
      </c>
      <c r="BD107" t="inlineStr">
        <is>
          <t>9780801669842</t>
        </is>
      </c>
      <c r="BE107" t="inlineStr">
        <is>
          <t>30001002984153</t>
        </is>
      </c>
      <c r="BF107" t="inlineStr">
        <is>
          <t>893460338</t>
        </is>
      </c>
    </row>
    <row r="108">
      <c r="A108" t="inlineStr">
        <is>
          <t>No</t>
        </is>
      </c>
      <c r="B108" t="inlineStr">
        <is>
          <t>CUHSL</t>
        </is>
      </c>
      <c r="C108" t="inlineStr">
        <is>
          <t>SHELVES</t>
        </is>
      </c>
      <c r="D108" t="inlineStr">
        <is>
          <t>W 18 L765h 1974</t>
        </is>
      </c>
      <c r="E108" t="inlineStr">
        <is>
          <t>0                      W  0018000L  765h        1974</t>
        </is>
      </c>
      <c r="F108" t="inlineStr">
        <is>
          <t>A half-century of American medical education : 1920-1970 / Vernon W. Lippard.</t>
        </is>
      </c>
      <c r="H108" t="inlineStr">
        <is>
          <t>No</t>
        </is>
      </c>
      <c r="I108" t="inlineStr">
        <is>
          <t>1</t>
        </is>
      </c>
      <c r="J108" t="inlineStr">
        <is>
          <t>No</t>
        </is>
      </c>
      <c r="K108" t="inlineStr">
        <is>
          <t>No</t>
        </is>
      </c>
      <c r="L108" t="inlineStr">
        <is>
          <t>0</t>
        </is>
      </c>
      <c r="M108" t="inlineStr">
        <is>
          <t>Lippard, Vernon W., 1905-</t>
        </is>
      </c>
      <c r="N108" t="inlineStr">
        <is>
          <t>New York : Josiah Macy, Jr. Foundation, [c1974]</t>
        </is>
      </c>
      <c r="O108" t="inlineStr">
        <is>
          <t>1974</t>
        </is>
      </c>
      <c r="Q108" t="inlineStr">
        <is>
          <t>eng</t>
        </is>
      </c>
      <c r="R108" t="inlineStr">
        <is>
          <t xml:space="preserve">xx </t>
        </is>
      </c>
      <c r="T108" t="inlineStr">
        <is>
          <t xml:space="preserve">W  </t>
        </is>
      </c>
      <c r="U108" t="n">
        <v>1</v>
      </c>
      <c r="V108" t="n">
        <v>1</v>
      </c>
      <c r="W108" t="inlineStr">
        <is>
          <t>2003-03-04</t>
        </is>
      </c>
      <c r="X108" t="inlineStr">
        <is>
          <t>2003-03-04</t>
        </is>
      </c>
      <c r="Y108" t="inlineStr">
        <is>
          <t>1987-10-07</t>
        </is>
      </c>
      <c r="Z108" t="inlineStr">
        <is>
          <t>1987-10-07</t>
        </is>
      </c>
      <c r="AA108" t="n">
        <v>174</v>
      </c>
      <c r="AB108" t="n">
        <v>146</v>
      </c>
      <c r="AC108" t="n">
        <v>148</v>
      </c>
      <c r="AD108" t="n">
        <v>1</v>
      </c>
      <c r="AE108" t="n">
        <v>1</v>
      </c>
      <c r="AF108" t="n">
        <v>3</v>
      </c>
      <c r="AG108" t="n">
        <v>3</v>
      </c>
      <c r="AH108" t="n">
        <v>0</v>
      </c>
      <c r="AI108" t="n">
        <v>0</v>
      </c>
      <c r="AJ108" t="n">
        <v>1</v>
      </c>
      <c r="AK108" t="n">
        <v>1</v>
      </c>
      <c r="AL108" t="n">
        <v>3</v>
      </c>
      <c r="AM108" t="n">
        <v>3</v>
      </c>
      <c r="AN108" t="n">
        <v>0</v>
      </c>
      <c r="AO108" t="n">
        <v>0</v>
      </c>
      <c r="AP108" t="n">
        <v>0</v>
      </c>
      <c r="AQ108" t="n">
        <v>0</v>
      </c>
      <c r="AR108" t="inlineStr">
        <is>
          <t>No</t>
        </is>
      </c>
      <c r="AS108" t="inlineStr">
        <is>
          <t>Yes</t>
        </is>
      </c>
      <c r="AT108">
        <f>HYPERLINK("http://catalog.hathitrust.org/Record/001558032","HathiTrust Record")</f>
        <v/>
      </c>
      <c r="AU108">
        <f>HYPERLINK("https://creighton-primo.hosted.exlibrisgroup.com/primo-explore/search?tab=default_tab&amp;search_scope=EVERYTHING&amp;vid=01CRU&amp;lang=en_US&amp;offset=0&amp;query=any,contains,991001168569702656","Catalog Record")</f>
        <v/>
      </c>
      <c r="AV108">
        <f>HYPERLINK("http://www.worldcat.org/oclc/1229509","WorldCat Record")</f>
        <v/>
      </c>
      <c r="AW108" t="inlineStr">
        <is>
          <t>2129613:eng</t>
        </is>
      </c>
      <c r="AX108" t="inlineStr">
        <is>
          <t>1229509</t>
        </is>
      </c>
      <c r="AY108" t="inlineStr">
        <is>
          <t>991001168569702656</t>
        </is>
      </c>
      <c r="AZ108" t="inlineStr">
        <is>
          <t>991001168569702656</t>
        </is>
      </c>
      <c r="BA108" t="inlineStr">
        <is>
          <t>2265242040002656</t>
        </is>
      </c>
      <c r="BB108" t="inlineStr">
        <is>
          <t>BOOK</t>
        </is>
      </c>
      <c r="BE108" t="inlineStr">
        <is>
          <t>30001000306185</t>
        </is>
      </c>
      <c r="BF108" t="inlineStr">
        <is>
          <t>893632781</t>
        </is>
      </c>
    </row>
    <row r="109">
      <c r="A109" t="inlineStr">
        <is>
          <t>No</t>
        </is>
      </c>
      <c r="B109" t="inlineStr">
        <is>
          <t>CUHSL</t>
        </is>
      </c>
      <c r="C109" t="inlineStr">
        <is>
          <t>SHELVES</t>
        </is>
      </c>
      <c r="D109" t="inlineStr">
        <is>
          <t>W 18 M177c 1971</t>
        </is>
      </c>
      <c r="E109" t="inlineStr">
        <is>
          <t>0                      W  0018000M  177c        1971</t>
        </is>
      </c>
      <c r="F109" t="inlineStr">
        <is>
          <t>The changing medical curriculum : report / edited by Vernon W. Lippard and Elizabeth Purcell.</t>
        </is>
      </c>
      <c r="H109" t="inlineStr">
        <is>
          <t>No</t>
        </is>
      </c>
      <c r="I109" t="inlineStr">
        <is>
          <t>1</t>
        </is>
      </c>
      <c r="J109" t="inlineStr">
        <is>
          <t>No</t>
        </is>
      </c>
      <c r="K109" t="inlineStr">
        <is>
          <t>No</t>
        </is>
      </c>
      <c r="L109" t="inlineStr">
        <is>
          <t>0</t>
        </is>
      </c>
      <c r="M109" t="inlineStr">
        <is>
          <t>Macy Conference on the Changing Medical Curriculum (1971 : Williamsburg, Va.)</t>
        </is>
      </c>
      <c r="N109" t="inlineStr">
        <is>
          <t>New York : Josiah Macy, Jr., Foundation, 1972.</t>
        </is>
      </c>
      <c r="O109" t="inlineStr">
        <is>
          <t>1972</t>
        </is>
      </c>
      <c r="Q109" t="inlineStr">
        <is>
          <t>eng</t>
        </is>
      </c>
      <c r="R109" t="inlineStr">
        <is>
          <t>nyu</t>
        </is>
      </c>
      <c r="T109" t="inlineStr">
        <is>
          <t xml:space="preserve">W  </t>
        </is>
      </c>
      <c r="U109" t="n">
        <v>2</v>
      </c>
      <c r="V109" t="n">
        <v>2</v>
      </c>
      <c r="W109" t="inlineStr">
        <is>
          <t>1990-04-26</t>
        </is>
      </c>
      <c r="X109" t="inlineStr">
        <is>
          <t>1990-04-26</t>
        </is>
      </c>
      <c r="Y109" t="inlineStr">
        <is>
          <t>1987-10-07</t>
        </is>
      </c>
      <c r="Z109" t="inlineStr">
        <is>
          <t>1987-10-07</t>
        </is>
      </c>
      <c r="AA109" t="n">
        <v>110</v>
      </c>
      <c r="AB109" t="n">
        <v>90</v>
      </c>
      <c r="AC109" t="n">
        <v>92</v>
      </c>
      <c r="AD109" t="n">
        <v>1</v>
      </c>
      <c r="AE109" t="n">
        <v>1</v>
      </c>
      <c r="AF109" t="n">
        <v>2</v>
      </c>
      <c r="AG109" t="n">
        <v>2</v>
      </c>
      <c r="AH109" t="n">
        <v>0</v>
      </c>
      <c r="AI109" t="n">
        <v>0</v>
      </c>
      <c r="AJ109" t="n">
        <v>0</v>
      </c>
      <c r="AK109" t="n">
        <v>0</v>
      </c>
      <c r="AL109" t="n">
        <v>2</v>
      </c>
      <c r="AM109" t="n">
        <v>2</v>
      </c>
      <c r="AN109" t="n">
        <v>0</v>
      </c>
      <c r="AO109" t="n">
        <v>0</v>
      </c>
      <c r="AP109" t="n">
        <v>0</v>
      </c>
      <c r="AQ109" t="n">
        <v>0</v>
      </c>
      <c r="AR109" t="inlineStr">
        <is>
          <t>No</t>
        </is>
      </c>
      <c r="AS109" t="inlineStr">
        <is>
          <t>Yes</t>
        </is>
      </c>
      <c r="AT109">
        <f>HYPERLINK("http://catalog.hathitrust.org/Record/001558034","HathiTrust Record")</f>
        <v/>
      </c>
      <c r="AU109">
        <f>HYPERLINK("https://creighton-primo.hosted.exlibrisgroup.com/primo-explore/search?tab=default_tab&amp;search_scope=EVERYTHING&amp;vid=01CRU&amp;lang=en_US&amp;offset=0&amp;query=any,contains,991001168539702656","Catalog Record")</f>
        <v/>
      </c>
      <c r="AV109">
        <f>HYPERLINK("http://www.worldcat.org/oclc/315256","WorldCat Record")</f>
        <v/>
      </c>
      <c r="AW109" t="inlineStr">
        <is>
          <t>2287128780:eng</t>
        </is>
      </c>
      <c r="AX109" t="inlineStr">
        <is>
          <t>315256</t>
        </is>
      </c>
      <c r="AY109" t="inlineStr">
        <is>
          <t>991001168539702656</t>
        </is>
      </c>
      <c r="AZ109" t="inlineStr">
        <is>
          <t>991001168539702656</t>
        </is>
      </c>
      <c r="BA109" t="inlineStr">
        <is>
          <t>2270887670002656</t>
        </is>
      </c>
      <c r="BB109" t="inlineStr">
        <is>
          <t>BOOK</t>
        </is>
      </c>
      <c r="BE109" t="inlineStr">
        <is>
          <t>30001000306177</t>
        </is>
      </c>
      <c r="BF109" t="inlineStr">
        <is>
          <t>893651898</t>
        </is>
      </c>
    </row>
    <row r="110">
      <c r="A110" t="inlineStr">
        <is>
          <t>No</t>
        </is>
      </c>
      <c r="B110" t="inlineStr">
        <is>
          <t>CUHSL</t>
        </is>
      </c>
      <c r="C110" t="inlineStr">
        <is>
          <t>SHELVES</t>
        </is>
      </c>
      <c r="D110" t="inlineStr">
        <is>
          <t>W 18 M4872 1992</t>
        </is>
      </c>
      <c r="E110" t="inlineStr">
        <is>
          <t>0                      W  0018000M  4872        1992</t>
        </is>
      </c>
      <c r="F110" t="inlineStr">
        <is>
          <t>Medical education in transition / Commission on Medical Education: The Sciences of Medical Practice ; Robert Q. Marston, and Roseann M. Jones, editors.</t>
        </is>
      </c>
      <c r="H110" t="inlineStr">
        <is>
          <t>No</t>
        </is>
      </c>
      <c r="I110" t="inlineStr">
        <is>
          <t>1</t>
        </is>
      </c>
      <c r="J110" t="inlineStr">
        <is>
          <t>No</t>
        </is>
      </c>
      <c r="K110" t="inlineStr">
        <is>
          <t>No</t>
        </is>
      </c>
      <c r="L110" t="inlineStr">
        <is>
          <t>0</t>
        </is>
      </c>
      <c r="N110" t="inlineStr">
        <is>
          <t>Princeton, NJ : Robert Wood Johnson Foundation, 1992.</t>
        </is>
      </c>
      <c r="O110" t="inlineStr">
        <is>
          <t>1992</t>
        </is>
      </c>
      <c r="Q110" t="inlineStr">
        <is>
          <t>eng</t>
        </is>
      </c>
      <c r="R110" t="inlineStr">
        <is>
          <t>nju</t>
        </is>
      </c>
      <c r="T110" t="inlineStr">
        <is>
          <t xml:space="preserve">W  </t>
        </is>
      </c>
      <c r="U110" t="n">
        <v>3</v>
      </c>
      <c r="V110" t="n">
        <v>3</v>
      </c>
      <c r="W110" t="inlineStr">
        <is>
          <t>1992-09-17</t>
        </is>
      </c>
      <c r="X110" t="inlineStr">
        <is>
          <t>1992-09-17</t>
        </is>
      </c>
      <c r="Y110" t="inlineStr">
        <is>
          <t>1992-09-11</t>
        </is>
      </c>
      <c r="Z110" t="inlineStr">
        <is>
          <t>1992-09-11</t>
        </is>
      </c>
      <c r="AA110" t="n">
        <v>97</v>
      </c>
      <c r="AB110" t="n">
        <v>88</v>
      </c>
      <c r="AC110" t="n">
        <v>90</v>
      </c>
      <c r="AD110" t="n">
        <v>1</v>
      </c>
      <c r="AE110" t="n">
        <v>1</v>
      </c>
      <c r="AF110" t="n">
        <v>2</v>
      </c>
      <c r="AG110" t="n">
        <v>2</v>
      </c>
      <c r="AH110" t="n">
        <v>0</v>
      </c>
      <c r="AI110" t="n">
        <v>0</v>
      </c>
      <c r="AJ110" t="n">
        <v>0</v>
      </c>
      <c r="AK110" t="n">
        <v>0</v>
      </c>
      <c r="AL110" t="n">
        <v>2</v>
      </c>
      <c r="AM110" t="n">
        <v>2</v>
      </c>
      <c r="AN110" t="n">
        <v>0</v>
      </c>
      <c r="AO110" t="n">
        <v>0</v>
      </c>
      <c r="AP110" t="n">
        <v>0</v>
      </c>
      <c r="AQ110" t="n">
        <v>0</v>
      </c>
      <c r="AR110" t="inlineStr">
        <is>
          <t>No</t>
        </is>
      </c>
      <c r="AS110" t="inlineStr">
        <is>
          <t>Yes</t>
        </is>
      </c>
      <c r="AT110">
        <f>HYPERLINK("http://catalog.hathitrust.org/Record/002654823","HathiTrust Record")</f>
        <v/>
      </c>
      <c r="AU110">
        <f>HYPERLINK("https://creighton-primo.hosted.exlibrisgroup.com/primo-explore/search?tab=default_tab&amp;search_scope=EVERYTHING&amp;vid=01CRU&amp;lang=en_US&amp;offset=0&amp;query=any,contains,991001344419702656","Catalog Record")</f>
        <v/>
      </c>
      <c r="AV110">
        <f>HYPERLINK("http://www.worldcat.org/oclc/26521984","WorldCat Record")</f>
        <v/>
      </c>
      <c r="AW110" t="inlineStr">
        <is>
          <t>28951988:eng</t>
        </is>
      </c>
      <c r="AX110" t="inlineStr">
        <is>
          <t>26521984</t>
        </is>
      </c>
      <c r="AY110" t="inlineStr">
        <is>
          <t>991001344419702656</t>
        </is>
      </c>
      <c r="AZ110" t="inlineStr">
        <is>
          <t>991001344419702656</t>
        </is>
      </c>
      <c r="BA110" t="inlineStr">
        <is>
          <t>2268803640002656</t>
        </is>
      </c>
      <c r="BB110" t="inlineStr">
        <is>
          <t>BOOK</t>
        </is>
      </c>
      <c r="BD110" t="inlineStr">
        <is>
          <t>9780942054057</t>
        </is>
      </c>
      <c r="BE110" t="inlineStr">
        <is>
          <t>30001002456699</t>
        </is>
      </c>
      <c r="BF110" t="inlineStr">
        <is>
          <t>893834643</t>
        </is>
      </c>
    </row>
    <row r="111">
      <c r="A111" t="inlineStr">
        <is>
          <t>No</t>
        </is>
      </c>
      <c r="B111" t="inlineStr">
        <is>
          <t>CUHSL</t>
        </is>
      </c>
      <c r="C111" t="inlineStr">
        <is>
          <t>SHELVES</t>
        </is>
      </c>
      <c r="D111" t="inlineStr">
        <is>
          <t>W 18 M4895 1982</t>
        </is>
      </c>
      <c r="E111" t="inlineStr">
        <is>
          <t>0                      W  0018000M  4895        1982</t>
        </is>
      </c>
      <c r="F111" t="inlineStr">
        <is>
          <t>Medical specialties, review and assessment / [edited by] Richard M. Stillman, Eli A. Friedman.</t>
        </is>
      </c>
      <c r="H111" t="inlineStr">
        <is>
          <t>No</t>
        </is>
      </c>
      <c r="I111" t="inlineStr">
        <is>
          <t>1</t>
        </is>
      </c>
      <c r="J111" t="inlineStr">
        <is>
          <t>No</t>
        </is>
      </c>
      <c r="K111" t="inlineStr">
        <is>
          <t>No</t>
        </is>
      </c>
      <c r="L111" t="inlineStr">
        <is>
          <t>0</t>
        </is>
      </c>
      <c r="N111" t="inlineStr">
        <is>
          <t>New York : Appleton-Century-Crofts, c1982.</t>
        </is>
      </c>
      <c r="O111" t="inlineStr">
        <is>
          <t>1982</t>
        </is>
      </c>
      <c r="Q111" t="inlineStr">
        <is>
          <t>eng</t>
        </is>
      </c>
      <c r="R111" t="inlineStr">
        <is>
          <t>xxu</t>
        </is>
      </c>
      <c r="T111" t="inlineStr">
        <is>
          <t xml:space="preserve">W  </t>
        </is>
      </c>
      <c r="U111" t="n">
        <v>8</v>
      </c>
      <c r="V111" t="n">
        <v>8</v>
      </c>
      <c r="W111" t="inlineStr">
        <is>
          <t>1991-10-24</t>
        </is>
      </c>
      <c r="X111" t="inlineStr">
        <is>
          <t>1991-10-24</t>
        </is>
      </c>
      <c r="Y111" t="inlineStr">
        <is>
          <t>1987-09-30</t>
        </is>
      </c>
      <c r="Z111" t="inlineStr">
        <is>
          <t>1987-09-30</t>
        </is>
      </c>
      <c r="AA111" t="n">
        <v>49</v>
      </c>
      <c r="AB111" t="n">
        <v>32</v>
      </c>
      <c r="AC111" t="n">
        <v>32</v>
      </c>
      <c r="AD111" t="n">
        <v>1</v>
      </c>
      <c r="AE111" t="n">
        <v>1</v>
      </c>
      <c r="AF111" t="n">
        <v>0</v>
      </c>
      <c r="AG111" t="n">
        <v>0</v>
      </c>
      <c r="AH111" t="n">
        <v>0</v>
      </c>
      <c r="AI111" t="n">
        <v>0</v>
      </c>
      <c r="AJ111" t="n">
        <v>0</v>
      </c>
      <c r="AK111" t="n">
        <v>0</v>
      </c>
      <c r="AL111" t="n">
        <v>0</v>
      </c>
      <c r="AM111" t="n">
        <v>0</v>
      </c>
      <c r="AN111" t="n">
        <v>0</v>
      </c>
      <c r="AO111" t="n">
        <v>0</v>
      </c>
      <c r="AP111" t="n">
        <v>0</v>
      </c>
      <c r="AQ111" t="n">
        <v>0</v>
      </c>
      <c r="AR111" t="inlineStr">
        <is>
          <t>No</t>
        </is>
      </c>
      <c r="AS111" t="inlineStr">
        <is>
          <t>No</t>
        </is>
      </c>
      <c r="AU111">
        <f>HYPERLINK("https://creighton-primo.hosted.exlibrisgroup.com/primo-explore/search?tab=default_tab&amp;search_scope=EVERYTHING&amp;vid=01CRU&amp;lang=en_US&amp;offset=0&amp;query=any,contains,991001169579702656","Catalog Record")</f>
        <v/>
      </c>
      <c r="AV111">
        <f>HYPERLINK("http://www.worldcat.org/oclc/8051683","WorldCat Record")</f>
        <v/>
      </c>
      <c r="AW111" t="inlineStr">
        <is>
          <t>349940403:eng</t>
        </is>
      </c>
      <c r="AX111" t="inlineStr">
        <is>
          <t>8051683</t>
        </is>
      </c>
      <c r="AY111" t="inlineStr">
        <is>
          <t>991001169579702656</t>
        </is>
      </c>
      <c r="AZ111" t="inlineStr">
        <is>
          <t>991001169579702656</t>
        </is>
      </c>
      <c r="BA111" t="inlineStr">
        <is>
          <t>2269049100002656</t>
        </is>
      </c>
      <c r="BB111" t="inlineStr">
        <is>
          <t>BOOK</t>
        </is>
      </c>
      <c r="BD111" t="inlineStr">
        <is>
          <t>9780838562673</t>
        </is>
      </c>
      <c r="BE111" t="inlineStr">
        <is>
          <t>30001000306573</t>
        </is>
      </c>
      <c r="BF111" t="inlineStr">
        <is>
          <t>893731723</t>
        </is>
      </c>
    </row>
    <row r="112">
      <c r="A112" t="inlineStr">
        <is>
          <t>No</t>
        </is>
      </c>
      <c r="B112" t="inlineStr">
        <is>
          <t>CUHSL</t>
        </is>
      </c>
      <c r="C112" t="inlineStr">
        <is>
          <t>SHELVES</t>
        </is>
      </c>
      <c r="D112" t="inlineStr">
        <is>
          <t>W 18 M492b 1987</t>
        </is>
      </c>
      <c r="E112" t="inlineStr">
        <is>
          <t>0                      W  0018000M  492b        1987</t>
        </is>
      </c>
      <c r="F112" t="inlineStr">
        <is>
          <t>Medicine, 650 multiple-choice questions with referenced, explanatory answers / [edited by] Michael A. Baker.</t>
        </is>
      </c>
      <c r="G112" t="inlineStr">
        <is>
          <t>V. 2</t>
        </is>
      </c>
      <c r="H112" t="inlineStr">
        <is>
          <t>No</t>
        </is>
      </c>
      <c r="I112" t="inlineStr">
        <is>
          <t>1</t>
        </is>
      </c>
      <c r="J112" t="inlineStr">
        <is>
          <t>No</t>
        </is>
      </c>
      <c r="K112" t="inlineStr">
        <is>
          <t>No</t>
        </is>
      </c>
      <c r="L112" t="inlineStr">
        <is>
          <t>0</t>
        </is>
      </c>
      <c r="N112" t="inlineStr">
        <is>
          <t>New York : Medical Examination Pub. Co., c1987.</t>
        </is>
      </c>
      <c r="O112" t="inlineStr">
        <is>
          <t>1987</t>
        </is>
      </c>
      <c r="P112" t="inlineStr">
        <is>
          <t>9th ed.</t>
        </is>
      </c>
      <c r="Q112" t="inlineStr">
        <is>
          <t>eng</t>
        </is>
      </c>
      <c r="R112" t="inlineStr">
        <is>
          <t>nyu</t>
        </is>
      </c>
      <c r="S112" t="inlineStr">
        <is>
          <t>Medical examination review ; v. 2</t>
        </is>
      </c>
      <c r="T112" t="inlineStr">
        <is>
          <t xml:space="preserve">W  </t>
        </is>
      </c>
      <c r="U112" t="n">
        <v>30</v>
      </c>
      <c r="V112" t="n">
        <v>30</v>
      </c>
      <c r="W112" t="inlineStr">
        <is>
          <t>2001-06-12</t>
        </is>
      </c>
      <c r="X112" t="inlineStr">
        <is>
          <t>2001-06-12</t>
        </is>
      </c>
      <c r="Y112" t="inlineStr">
        <is>
          <t>1987-10-04</t>
        </is>
      </c>
      <c r="Z112" t="inlineStr">
        <is>
          <t>1987-10-04</t>
        </is>
      </c>
      <c r="AA112" t="n">
        <v>38</v>
      </c>
      <c r="AB112" t="n">
        <v>33</v>
      </c>
      <c r="AC112" t="n">
        <v>33</v>
      </c>
      <c r="AD112" t="n">
        <v>1</v>
      </c>
      <c r="AE112" t="n">
        <v>1</v>
      </c>
      <c r="AF112" t="n">
        <v>0</v>
      </c>
      <c r="AG112" t="n">
        <v>0</v>
      </c>
      <c r="AH112" t="n">
        <v>0</v>
      </c>
      <c r="AI112" t="n">
        <v>0</v>
      </c>
      <c r="AJ112" t="n">
        <v>0</v>
      </c>
      <c r="AK112" t="n">
        <v>0</v>
      </c>
      <c r="AL112" t="n">
        <v>0</v>
      </c>
      <c r="AM112" t="n">
        <v>0</v>
      </c>
      <c r="AN112" t="n">
        <v>0</v>
      </c>
      <c r="AO112" t="n">
        <v>0</v>
      </c>
      <c r="AP112" t="n">
        <v>0</v>
      </c>
      <c r="AQ112" t="n">
        <v>0</v>
      </c>
      <c r="AR112" t="inlineStr">
        <is>
          <t>No</t>
        </is>
      </c>
      <c r="AS112" t="inlineStr">
        <is>
          <t>No</t>
        </is>
      </c>
      <c r="AU112">
        <f>HYPERLINK("https://creighton-primo.hosted.exlibrisgroup.com/primo-explore/search?tab=default_tab&amp;search_scope=EVERYTHING&amp;vid=01CRU&amp;lang=en_US&amp;offset=0&amp;query=any,contains,991001265279702656","Catalog Record")</f>
        <v/>
      </c>
      <c r="AV112">
        <f>HYPERLINK("http://www.worldcat.org/oclc/18561201","WorldCat Record")</f>
        <v/>
      </c>
      <c r="AW112" t="inlineStr">
        <is>
          <t>478710009:eng</t>
        </is>
      </c>
      <c r="AX112" t="inlineStr">
        <is>
          <t>18561201</t>
        </is>
      </c>
      <c r="AY112" t="inlineStr">
        <is>
          <t>991001265279702656</t>
        </is>
      </c>
      <c r="AZ112" t="inlineStr">
        <is>
          <t>991001265279702656</t>
        </is>
      </c>
      <c r="BA112" t="inlineStr">
        <is>
          <t>2262425650002656</t>
        </is>
      </c>
      <c r="BB112" t="inlineStr">
        <is>
          <t>BOOK</t>
        </is>
      </c>
      <c r="BD112" t="inlineStr">
        <is>
          <t>9780444011268</t>
        </is>
      </c>
      <c r="BE112" t="inlineStr">
        <is>
          <t>30001000352627</t>
        </is>
      </c>
      <c r="BF112" t="inlineStr">
        <is>
          <t>893632872</t>
        </is>
      </c>
    </row>
    <row r="113">
      <c r="A113" t="inlineStr">
        <is>
          <t>No</t>
        </is>
      </c>
      <c r="B113" t="inlineStr">
        <is>
          <t>CUHSL</t>
        </is>
      </c>
      <c r="C113" t="inlineStr">
        <is>
          <t>SHELVES</t>
        </is>
      </c>
      <c r="D113" t="inlineStr">
        <is>
          <t>W 18 M648e 1980</t>
        </is>
      </c>
      <c r="E113" t="inlineStr">
        <is>
          <t>0                      W  0018000M  648e        1980</t>
        </is>
      </c>
      <c r="F113" t="inlineStr">
        <is>
          <t>Educating medical teachers / George E. Miller.</t>
        </is>
      </c>
      <c r="H113" t="inlineStr">
        <is>
          <t>No</t>
        </is>
      </c>
      <c r="I113" t="inlineStr">
        <is>
          <t>1</t>
        </is>
      </c>
      <c r="J113" t="inlineStr">
        <is>
          <t>Yes</t>
        </is>
      </c>
      <c r="K113" t="inlineStr">
        <is>
          <t>No</t>
        </is>
      </c>
      <c r="L113" t="inlineStr">
        <is>
          <t>0</t>
        </is>
      </c>
      <c r="M113" t="inlineStr">
        <is>
          <t>Miller, George E., 1919-1998.</t>
        </is>
      </c>
      <c r="N113" t="inlineStr">
        <is>
          <t>Cambridge, : Harvard Univ. Press, c1980.</t>
        </is>
      </c>
      <c r="O113" t="inlineStr">
        <is>
          <t>1980</t>
        </is>
      </c>
      <c r="Q113" t="inlineStr">
        <is>
          <t>eng</t>
        </is>
      </c>
      <c r="R113" t="inlineStr">
        <is>
          <t>xxu</t>
        </is>
      </c>
      <c r="S113" t="inlineStr">
        <is>
          <t>Commonwealth Fund book</t>
        </is>
      </c>
      <c r="T113" t="inlineStr">
        <is>
          <t xml:space="preserve">W  </t>
        </is>
      </c>
      <c r="U113" t="n">
        <v>3</v>
      </c>
      <c r="V113" t="n">
        <v>3</v>
      </c>
      <c r="W113" t="inlineStr">
        <is>
          <t>1990-12-11</t>
        </is>
      </c>
      <c r="X113" t="inlineStr">
        <is>
          <t>1990-12-11</t>
        </is>
      </c>
      <c r="Y113" t="inlineStr">
        <is>
          <t>1987-09-30</t>
        </is>
      </c>
      <c r="Z113" t="inlineStr">
        <is>
          <t>1987-09-30</t>
        </is>
      </c>
      <c r="AA113" t="n">
        <v>195</v>
      </c>
      <c r="AB113" t="n">
        <v>142</v>
      </c>
      <c r="AC113" t="n">
        <v>155</v>
      </c>
      <c r="AD113" t="n">
        <v>2</v>
      </c>
      <c r="AE113" t="n">
        <v>2</v>
      </c>
      <c r="AF113" t="n">
        <v>2</v>
      </c>
      <c r="AG113" t="n">
        <v>2</v>
      </c>
      <c r="AH113" t="n">
        <v>0</v>
      </c>
      <c r="AI113" t="n">
        <v>0</v>
      </c>
      <c r="AJ113" t="n">
        <v>1</v>
      </c>
      <c r="AK113" t="n">
        <v>1</v>
      </c>
      <c r="AL113" t="n">
        <v>2</v>
      </c>
      <c r="AM113" t="n">
        <v>2</v>
      </c>
      <c r="AN113" t="n">
        <v>0</v>
      </c>
      <c r="AO113" t="n">
        <v>0</v>
      </c>
      <c r="AP113" t="n">
        <v>0</v>
      </c>
      <c r="AQ113" t="n">
        <v>0</v>
      </c>
      <c r="AR113" t="inlineStr">
        <is>
          <t>No</t>
        </is>
      </c>
      <c r="AS113" t="inlineStr">
        <is>
          <t>Yes</t>
        </is>
      </c>
      <c r="AT113">
        <f>HYPERLINK("http://catalog.hathitrust.org/Record/000742407","HathiTrust Record")</f>
        <v/>
      </c>
      <c r="AU113">
        <f>HYPERLINK("https://creighton-primo.hosted.exlibrisgroup.com/primo-explore/search?tab=default_tab&amp;search_scope=EVERYTHING&amp;vid=01CRU&amp;lang=en_US&amp;offset=0&amp;query=any,contains,991001169699702656","Catalog Record")</f>
        <v/>
      </c>
      <c r="AV113">
        <f>HYPERLINK("http://www.worldcat.org/oclc/5726984","WorldCat Record")</f>
        <v/>
      </c>
      <c r="AW113" t="inlineStr">
        <is>
          <t>354713174:eng</t>
        </is>
      </c>
      <c r="AX113" t="inlineStr">
        <is>
          <t>5726984</t>
        </is>
      </c>
      <c r="AY113" t="inlineStr">
        <is>
          <t>991001169699702656</t>
        </is>
      </c>
      <c r="AZ113" t="inlineStr">
        <is>
          <t>991001169699702656</t>
        </is>
      </c>
      <c r="BA113" t="inlineStr">
        <is>
          <t>2255529950002656</t>
        </is>
      </c>
      <c r="BB113" t="inlineStr">
        <is>
          <t>BOOK</t>
        </is>
      </c>
      <c r="BD113" t="inlineStr">
        <is>
          <t>9780674237759</t>
        </is>
      </c>
      <c r="BE113" t="inlineStr">
        <is>
          <t>30001000306607</t>
        </is>
      </c>
      <c r="BF113" t="inlineStr">
        <is>
          <t>893557665</t>
        </is>
      </c>
    </row>
    <row r="114">
      <c r="A114" t="inlineStr">
        <is>
          <t>No</t>
        </is>
      </c>
      <c r="B114" t="inlineStr">
        <is>
          <t>CUHSL</t>
        </is>
      </c>
      <c r="C114" t="inlineStr">
        <is>
          <t>SHELVES</t>
        </is>
      </c>
      <c r="D114" t="inlineStr">
        <is>
          <t>W 18 M648t 1961</t>
        </is>
      </c>
      <c r="E114" t="inlineStr">
        <is>
          <t>0                      W  0018000M  648t        1961</t>
        </is>
      </c>
      <c r="F114" t="inlineStr">
        <is>
          <t>Teaching and learning in medical school / [by] George E. Miller [and others].</t>
        </is>
      </c>
      <c r="H114" t="inlineStr">
        <is>
          <t>No</t>
        </is>
      </c>
      <c r="I114" t="inlineStr">
        <is>
          <t>1</t>
        </is>
      </c>
      <c r="J114" t="inlineStr">
        <is>
          <t>No</t>
        </is>
      </c>
      <c r="K114" t="inlineStr">
        <is>
          <t>No</t>
        </is>
      </c>
      <c r="L114" t="inlineStr">
        <is>
          <t>0</t>
        </is>
      </c>
      <c r="M114" t="inlineStr">
        <is>
          <t>Miller, George E., 1919-1998.</t>
        </is>
      </c>
      <c r="N114" t="inlineStr">
        <is>
          <t>Cambridge : published for the Commonwealth Fund, by Harvard University Press, 1961.</t>
        </is>
      </c>
      <c r="O114" t="inlineStr">
        <is>
          <t>1961</t>
        </is>
      </c>
      <c r="Q114" t="inlineStr">
        <is>
          <t>eng</t>
        </is>
      </c>
      <c r="R114" t="inlineStr">
        <is>
          <t>mau</t>
        </is>
      </c>
      <c r="T114" t="inlineStr">
        <is>
          <t xml:space="preserve">W  </t>
        </is>
      </c>
      <c r="U114" t="n">
        <v>2</v>
      </c>
      <c r="V114" t="n">
        <v>2</v>
      </c>
      <c r="W114" t="inlineStr">
        <is>
          <t>2003-03-04</t>
        </is>
      </c>
      <c r="X114" t="inlineStr">
        <is>
          <t>2003-03-04</t>
        </is>
      </c>
      <c r="Y114" t="inlineStr">
        <is>
          <t>1987-10-08</t>
        </is>
      </c>
      <c r="Z114" t="inlineStr">
        <is>
          <t>1987-10-08</t>
        </is>
      </c>
      <c r="AA114" t="n">
        <v>200</v>
      </c>
      <c r="AB114" t="n">
        <v>133</v>
      </c>
      <c r="AC114" t="n">
        <v>148</v>
      </c>
      <c r="AD114" t="n">
        <v>1</v>
      </c>
      <c r="AE114" t="n">
        <v>1</v>
      </c>
      <c r="AF114" t="n">
        <v>4</v>
      </c>
      <c r="AG114" t="n">
        <v>4</v>
      </c>
      <c r="AH114" t="n">
        <v>0</v>
      </c>
      <c r="AI114" t="n">
        <v>0</v>
      </c>
      <c r="AJ114" t="n">
        <v>1</v>
      </c>
      <c r="AK114" t="n">
        <v>1</v>
      </c>
      <c r="AL114" t="n">
        <v>3</v>
      </c>
      <c r="AM114" t="n">
        <v>3</v>
      </c>
      <c r="AN114" t="n">
        <v>0</v>
      </c>
      <c r="AO114" t="n">
        <v>0</v>
      </c>
      <c r="AP114" t="n">
        <v>0</v>
      </c>
      <c r="AQ114" t="n">
        <v>0</v>
      </c>
      <c r="AR114" t="inlineStr">
        <is>
          <t>No</t>
        </is>
      </c>
      <c r="AS114" t="inlineStr">
        <is>
          <t>Yes</t>
        </is>
      </c>
      <c r="AT114">
        <f>HYPERLINK("http://catalog.hathitrust.org/Record/001557976","HathiTrust Record")</f>
        <v/>
      </c>
      <c r="AU114">
        <f>HYPERLINK("https://creighton-primo.hosted.exlibrisgroup.com/primo-explore/search?tab=default_tab&amp;search_scope=EVERYTHING&amp;vid=01CRU&amp;lang=en_US&amp;offset=0&amp;query=any,contains,991001169659702656","Catalog Record")</f>
        <v/>
      </c>
      <c r="AV114">
        <f>HYPERLINK("http://www.worldcat.org/oclc/14614061","WorldCat Record")</f>
        <v/>
      </c>
      <c r="AW114" t="inlineStr">
        <is>
          <t>135094104:eng</t>
        </is>
      </c>
      <c r="AX114" t="inlineStr">
        <is>
          <t>14614061</t>
        </is>
      </c>
      <c r="AY114" t="inlineStr">
        <is>
          <t>991001169659702656</t>
        </is>
      </c>
      <c r="AZ114" t="inlineStr">
        <is>
          <t>991001169659702656</t>
        </is>
      </c>
      <c r="BA114" t="inlineStr">
        <is>
          <t>2258522100002656</t>
        </is>
      </c>
      <c r="BB114" t="inlineStr">
        <is>
          <t>BOOK</t>
        </is>
      </c>
      <c r="BE114" t="inlineStr">
        <is>
          <t>30001000306599</t>
        </is>
      </c>
      <c r="BF114" t="inlineStr">
        <is>
          <t>893467837</t>
        </is>
      </c>
    </row>
    <row r="115">
      <c r="A115" t="inlineStr">
        <is>
          <t>No</t>
        </is>
      </c>
      <c r="B115" t="inlineStr">
        <is>
          <t>CUHSL</t>
        </is>
      </c>
      <c r="C115" t="inlineStr">
        <is>
          <t>SHELVES</t>
        </is>
      </c>
      <c r="D115" t="inlineStr">
        <is>
          <t>W 18 ME489 1977 v.7</t>
        </is>
      </c>
      <c r="E115" t="inlineStr">
        <is>
          <t>0                      W  0018000ME 489         1977                                        v.7</t>
        </is>
      </c>
      <c r="F115" t="inlineStr">
        <is>
          <t>Psychiatry : 1,000 multiple choice questions and referenced explanatory answers / by Paul Salkin.</t>
        </is>
      </c>
      <c r="G115" t="inlineStr">
        <is>
          <t>V. 7 1977</t>
        </is>
      </c>
      <c r="H115" t="inlineStr">
        <is>
          <t>No</t>
        </is>
      </c>
      <c r="I115" t="inlineStr">
        <is>
          <t>1</t>
        </is>
      </c>
      <c r="J115" t="inlineStr">
        <is>
          <t>No</t>
        </is>
      </c>
      <c r="K115" t="inlineStr">
        <is>
          <t>No</t>
        </is>
      </c>
      <c r="L115" t="inlineStr">
        <is>
          <t>0</t>
        </is>
      </c>
      <c r="M115" t="inlineStr">
        <is>
          <t>Salkin, Paul.</t>
        </is>
      </c>
      <c r="N115" t="inlineStr">
        <is>
          <t>Flushing, N.Y. : Medical Examination Pub., c1977.</t>
        </is>
      </c>
      <c r="O115" t="inlineStr">
        <is>
          <t>1977</t>
        </is>
      </c>
      <c r="P115" t="inlineStr">
        <is>
          <t>6th ed.</t>
        </is>
      </c>
      <c r="Q115" t="inlineStr">
        <is>
          <t>eng</t>
        </is>
      </c>
      <c r="R115" t="inlineStr">
        <is>
          <t>nyu</t>
        </is>
      </c>
      <c r="S115" t="inlineStr">
        <is>
          <t>Medical examination review book ; v. 7</t>
        </is>
      </c>
      <c r="T115" t="inlineStr">
        <is>
          <t xml:space="preserve">W  </t>
        </is>
      </c>
      <c r="U115" t="n">
        <v>5</v>
      </c>
      <c r="V115" t="n">
        <v>5</v>
      </c>
      <c r="W115" t="inlineStr">
        <is>
          <t>1992-08-14</t>
        </is>
      </c>
      <c r="X115" t="inlineStr">
        <is>
          <t>1992-08-14</t>
        </is>
      </c>
      <c r="Y115" t="inlineStr">
        <is>
          <t>1987-10-07</t>
        </is>
      </c>
      <c r="Z115" t="inlineStr">
        <is>
          <t>1987-10-07</t>
        </is>
      </c>
      <c r="AA115" t="n">
        <v>29</v>
      </c>
      <c r="AB115" t="n">
        <v>23</v>
      </c>
      <c r="AC115" t="n">
        <v>23</v>
      </c>
      <c r="AD115" t="n">
        <v>1</v>
      </c>
      <c r="AE115" t="n">
        <v>1</v>
      </c>
      <c r="AF115" t="n">
        <v>0</v>
      </c>
      <c r="AG115" t="n">
        <v>0</v>
      </c>
      <c r="AH115" t="n">
        <v>0</v>
      </c>
      <c r="AI115" t="n">
        <v>0</v>
      </c>
      <c r="AJ115" t="n">
        <v>0</v>
      </c>
      <c r="AK115" t="n">
        <v>0</v>
      </c>
      <c r="AL115" t="n">
        <v>0</v>
      </c>
      <c r="AM115" t="n">
        <v>0</v>
      </c>
      <c r="AN115" t="n">
        <v>0</v>
      </c>
      <c r="AO115" t="n">
        <v>0</v>
      </c>
      <c r="AP115" t="n">
        <v>0</v>
      </c>
      <c r="AQ115" t="n">
        <v>0</v>
      </c>
      <c r="AR115" t="inlineStr">
        <is>
          <t>No</t>
        </is>
      </c>
      <c r="AS115" t="inlineStr">
        <is>
          <t>No</t>
        </is>
      </c>
      <c r="AU115">
        <f>HYPERLINK("https://creighton-primo.hosted.exlibrisgroup.com/primo-explore/search?tab=default_tab&amp;search_scope=EVERYTHING&amp;vid=01CRU&amp;lang=en_US&amp;offset=0&amp;query=any,contains,991001168499702656","Catalog Record")</f>
        <v/>
      </c>
      <c r="AV115">
        <f>HYPERLINK("http://www.worldcat.org/oclc/3234582","WorldCat Record")</f>
        <v/>
      </c>
      <c r="AW115" t="inlineStr">
        <is>
          <t>46802743:eng</t>
        </is>
      </c>
      <c r="AX115" t="inlineStr">
        <is>
          <t>3234582</t>
        </is>
      </c>
      <c r="AY115" t="inlineStr">
        <is>
          <t>991001168499702656</t>
        </is>
      </c>
      <c r="AZ115" t="inlineStr">
        <is>
          <t>991001168499702656</t>
        </is>
      </c>
      <c r="BA115" t="inlineStr">
        <is>
          <t>2260153770002656</t>
        </is>
      </c>
      <c r="BB115" t="inlineStr">
        <is>
          <t>BOOK</t>
        </is>
      </c>
      <c r="BD115" t="inlineStr">
        <is>
          <t>9780874881073</t>
        </is>
      </c>
      <c r="BE115" t="inlineStr">
        <is>
          <t>30001000306086</t>
        </is>
      </c>
      <c r="BF115" t="inlineStr">
        <is>
          <t>893148931</t>
        </is>
      </c>
    </row>
    <row r="116">
      <c r="A116" t="inlineStr">
        <is>
          <t>No</t>
        </is>
      </c>
      <c r="B116" t="inlineStr">
        <is>
          <t>CUHSL</t>
        </is>
      </c>
      <c r="C116" t="inlineStr">
        <is>
          <t>SHELVES</t>
        </is>
      </c>
      <c r="D116" t="inlineStr">
        <is>
          <t>W 18 N2775 1987</t>
        </is>
      </c>
      <c r="E116" t="inlineStr">
        <is>
          <t>0                      W  0018000N  2775        1987</t>
        </is>
      </c>
      <c r="F116" t="inlineStr">
        <is>
          <t>National boards examination review for part I, Basic sciences : 1350 multiple-choice questions with referenced explanatory answers.</t>
        </is>
      </c>
      <c r="H116" t="inlineStr">
        <is>
          <t>No</t>
        </is>
      </c>
      <c r="I116" t="inlineStr">
        <is>
          <t>1</t>
        </is>
      </c>
      <c r="J116" t="inlineStr">
        <is>
          <t>No</t>
        </is>
      </c>
      <c r="K116" t="inlineStr">
        <is>
          <t>No</t>
        </is>
      </c>
      <c r="L116" t="inlineStr">
        <is>
          <t>0</t>
        </is>
      </c>
      <c r="N116" t="inlineStr">
        <is>
          <t>New York, N.Y. : Medical Examination Pub. Co., c1987.</t>
        </is>
      </c>
      <c r="O116" t="inlineStr">
        <is>
          <t>1987</t>
        </is>
      </c>
      <c r="P116" t="inlineStr">
        <is>
          <t>3rd ed. / Mark Dershwitz ... [et al.].</t>
        </is>
      </c>
      <c r="Q116" t="inlineStr">
        <is>
          <t>eng</t>
        </is>
      </c>
      <c r="R116" t="inlineStr">
        <is>
          <t>xxu</t>
        </is>
      </c>
      <c r="T116" t="inlineStr">
        <is>
          <t xml:space="preserve">W  </t>
        </is>
      </c>
      <c r="U116" t="n">
        <v>4</v>
      </c>
      <c r="V116" t="n">
        <v>4</v>
      </c>
      <c r="W116" t="inlineStr">
        <is>
          <t>1995-04-24</t>
        </is>
      </c>
      <c r="X116" t="inlineStr">
        <is>
          <t>1995-04-24</t>
        </is>
      </c>
      <c r="Y116" t="inlineStr">
        <is>
          <t>1988-01-05</t>
        </is>
      </c>
      <c r="Z116" t="inlineStr">
        <is>
          <t>1988-01-05</t>
        </is>
      </c>
      <c r="AA116" t="n">
        <v>64</v>
      </c>
      <c r="AB116" t="n">
        <v>52</v>
      </c>
      <c r="AC116" t="n">
        <v>54</v>
      </c>
      <c r="AD116" t="n">
        <v>1</v>
      </c>
      <c r="AE116" t="n">
        <v>1</v>
      </c>
      <c r="AF116" t="n">
        <v>0</v>
      </c>
      <c r="AG116" t="n">
        <v>0</v>
      </c>
      <c r="AH116" t="n">
        <v>0</v>
      </c>
      <c r="AI116" t="n">
        <v>0</v>
      </c>
      <c r="AJ116" t="n">
        <v>0</v>
      </c>
      <c r="AK116" t="n">
        <v>0</v>
      </c>
      <c r="AL116" t="n">
        <v>0</v>
      </c>
      <c r="AM116" t="n">
        <v>0</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HYPERLINK("https://creighton-primo.hosted.exlibrisgroup.com/primo-explore/search?tab=default_tab&amp;search_scope=EVERYTHING&amp;vid=01CRU&amp;lang=en_US&amp;offset=0&amp;query=any,contains,991001534869702656","Catalog Record")</f>
        <v/>
      </c>
      <c r="AV116">
        <f>HYPERLINK("http://www.worldcat.org/oclc/15790913","WorldCat Record")</f>
        <v/>
      </c>
      <c r="AW116" t="inlineStr">
        <is>
          <t>365190959:eng</t>
        </is>
      </c>
      <c r="AX116" t="inlineStr">
        <is>
          <t>15790913</t>
        </is>
      </c>
      <c r="AY116" t="inlineStr">
        <is>
          <t>991001534869702656</t>
        </is>
      </c>
      <c r="AZ116" t="inlineStr">
        <is>
          <t>991001534869702656</t>
        </is>
      </c>
      <c r="BA116" t="inlineStr">
        <is>
          <t>2270777810002656</t>
        </is>
      </c>
      <c r="BB116" t="inlineStr">
        <is>
          <t>BOOK</t>
        </is>
      </c>
      <c r="BD116" t="inlineStr">
        <is>
          <t>9780444012074</t>
        </is>
      </c>
      <c r="BE116" t="inlineStr">
        <is>
          <t>30001000622516</t>
        </is>
      </c>
      <c r="BF116" t="inlineStr">
        <is>
          <t>893541485</t>
        </is>
      </c>
    </row>
    <row r="117">
      <c r="A117" t="inlineStr">
        <is>
          <t>No</t>
        </is>
      </c>
      <c r="B117" t="inlineStr">
        <is>
          <t>CUHSL</t>
        </is>
      </c>
      <c r="C117" t="inlineStr">
        <is>
          <t>SHELVES</t>
        </is>
      </c>
      <c r="D117" t="inlineStr">
        <is>
          <t>W 18 N277n 1990</t>
        </is>
      </c>
      <c r="E117" t="inlineStr">
        <is>
          <t>0                      W  0018000N  277n        1990</t>
        </is>
      </c>
      <c r="F117" t="inlineStr">
        <is>
          <t>NBME priorities for the twenty-first century : nurturing and measuring quality : enduring issues that won't go away / National Board of Medical Examiners ; edited by Robin D. Powell and Judith L. Lawley.</t>
        </is>
      </c>
      <c r="H117" t="inlineStr">
        <is>
          <t>No</t>
        </is>
      </c>
      <c r="I117" t="inlineStr">
        <is>
          <t>1</t>
        </is>
      </c>
      <c r="J117" t="inlineStr">
        <is>
          <t>No</t>
        </is>
      </c>
      <c r="K117" t="inlineStr">
        <is>
          <t>No</t>
        </is>
      </c>
      <c r="L117" t="inlineStr">
        <is>
          <t>0</t>
        </is>
      </c>
      <c r="M117" t="inlineStr">
        <is>
          <t>National Board of Medical Examiners.</t>
        </is>
      </c>
      <c r="N117" t="inlineStr">
        <is>
          <t>Philadelphia : The Board, c1991.</t>
        </is>
      </c>
      <c r="O117" t="inlineStr">
        <is>
          <t>1991</t>
        </is>
      </c>
      <c r="Q117" t="inlineStr">
        <is>
          <t>eng</t>
        </is>
      </c>
      <c r="R117" t="inlineStr">
        <is>
          <t>pau</t>
        </is>
      </c>
      <c r="T117" t="inlineStr">
        <is>
          <t xml:space="preserve">W  </t>
        </is>
      </c>
      <c r="U117" t="n">
        <v>3</v>
      </c>
      <c r="V117" t="n">
        <v>3</v>
      </c>
      <c r="W117" t="inlineStr">
        <is>
          <t>1992-06-01</t>
        </is>
      </c>
      <c r="X117" t="inlineStr">
        <is>
          <t>1992-06-01</t>
        </is>
      </c>
      <c r="Y117" t="inlineStr">
        <is>
          <t>1991-06-27</t>
        </is>
      </c>
      <c r="Z117" t="inlineStr">
        <is>
          <t>1991-06-27</t>
        </is>
      </c>
      <c r="AA117" t="n">
        <v>3</v>
      </c>
      <c r="AB117" t="n">
        <v>2</v>
      </c>
      <c r="AC117" t="n">
        <v>5</v>
      </c>
      <c r="AD117" t="n">
        <v>1</v>
      </c>
      <c r="AE117" t="n">
        <v>1</v>
      </c>
      <c r="AF117" t="n">
        <v>0</v>
      </c>
      <c r="AG117" t="n">
        <v>0</v>
      </c>
      <c r="AH117" t="n">
        <v>0</v>
      </c>
      <c r="AI117" t="n">
        <v>0</v>
      </c>
      <c r="AJ117" t="n">
        <v>0</v>
      </c>
      <c r="AK117" t="n">
        <v>0</v>
      </c>
      <c r="AL117" t="n">
        <v>0</v>
      </c>
      <c r="AM117" t="n">
        <v>0</v>
      </c>
      <c r="AN117" t="n">
        <v>0</v>
      </c>
      <c r="AO117" t="n">
        <v>0</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HYPERLINK("https://creighton-primo.hosted.exlibrisgroup.com/primo-explore/search?tab=default_tab&amp;search_scope=EVERYTHING&amp;vid=01CRU&amp;lang=en_US&amp;offset=0&amp;query=any,contains,991000940699702656","Catalog Record")</f>
        <v/>
      </c>
      <c r="AV117">
        <f>HYPERLINK("http://www.worldcat.org/oclc/25623591","WorldCat Record")</f>
        <v/>
      </c>
      <c r="AW117" t="inlineStr">
        <is>
          <t>28666441:eng</t>
        </is>
      </c>
      <c r="AX117" t="inlineStr">
        <is>
          <t>25623591</t>
        </is>
      </c>
      <c r="AY117" t="inlineStr">
        <is>
          <t>991000940699702656</t>
        </is>
      </c>
      <c r="AZ117" t="inlineStr">
        <is>
          <t>991000940699702656</t>
        </is>
      </c>
      <c r="BA117" t="inlineStr">
        <is>
          <t>2264692020002656</t>
        </is>
      </c>
      <c r="BB117" t="inlineStr">
        <is>
          <t>BOOK</t>
        </is>
      </c>
      <c r="BE117" t="inlineStr">
        <is>
          <t>30001002192567</t>
        </is>
      </c>
      <c r="BF117" t="inlineStr">
        <is>
          <t>893637851</t>
        </is>
      </c>
    </row>
    <row r="118">
      <c r="A118" t="inlineStr">
        <is>
          <t>No</t>
        </is>
      </c>
      <c r="B118" t="inlineStr">
        <is>
          <t>CUHSL</t>
        </is>
      </c>
      <c r="C118" t="inlineStr">
        <is>
          <t>SHELVES</t>
        </is>
      </c>
      <c r="D118" t="inlineStr">
        <is>
          <t>W 18 N5315 1989</t>
        </is>
      </c>
      <c r="E118" t="inlineStr">
        <is>
          <t>0                      W  0018000N  5315        1989</t>
        </is>
      </c>
      <c r="F118" t="inlineStr">
        <is>
          <t>New directions for medical education : problem-based learning and community-oriented medical education / Henk G. Schmidt ... [et al.], editors ; foreword by H. Mahler ; with contributions by O.K. Alausa ... [et al.].</t>
        </is>
      </c>
      <c r="H118" t="inlineStr">
        <is>
          <t>No</t>
        </is>
      </c>
      <c r="I118" t="inlineStr">
        <is>
          <t>1</t>
        </is>
      </c>
      <c r="J118" t="inlineStr">
        <is>
          <t>No</t>
        </is>
      </c>
      <c r="K118" t="inlineStr">
        <is>
          <t>No</t>
        </is>
      </c>
      <c r="L118" t="inlineStr">
        <is>
          <t>0</t>
        </is>
      </c>
      <c r="N118" t="inlineStr">
        <is>
          <t>New York : Springer-Verlag, c1989.</t>
        </is>
      </c>
      <c r="O118" t="inlineStr">
        <is>
          <t>1989</t>
        </is>
      </c>
      <c r="Q118" t="inlineStr">
        <is>
          <t>eng</t>
        </is>
      </c>
      <c r="R118" t="inlineStr">
        <is>
          <t>nyu</t>
        </is>
      </c>
      <c r="S118" t="inlineStr">
        <is>
          <t>Frontiers of primary care</t>
        </is>
      </c>
      <c r="T118" t="inlineStr">
        <is>
          <t xml:space="preserve">W  </t>
        </is>
      </c>
      <c r="U118" t="n">
        <v>11</v>
      </c>
      <c r="V118" t="n">
        <v>11</v>
      </c>
      <c r="W118" t="inlineStr">
        <is>
          <t>2003-03-04</t>
        </is>
      </c>
      <c r="X118" t="inlineStr">
        <is>
          <t>2003-03-04</t>
        </is>
      </c>
      <c r="Y118" t="inlineStr">
        <is>
          <t>1992-01-13</t>
        </is>
      </c>
      <c r="Z118" t="inlineStr">
        <is>
          <t>1992-01-13</t>
        </is>
      </c>
      <c r="AA118" t="n">
        <v>143</v>
      </c>
      <c r="AB118" t="n">
        <v>94</v>
      </c>
      <c r="AC118" t="n">
        <v>113</v>
      </c>
      <c r="AD118" t="n">
        <v>1</v>
      </c>
      <c r="AE118" t="n">
        <v>1</v>
      </c>
      <c r="AF118" t="n">
        <v>5</v>
      </c>
      <c r="AG118" t="n">
        <v>7</v>
      </c>
      <c r="AH118" t="n">
        <v>3</v>
      </c>
      <c r="AI118" t="n">
        <v>5</v>
      </c>
      <c r="AJ118" t="n">
        <v>0</v>
      </c>
      <c r="AK118" t="n">
        <v>1</v>
      </c>
      <c r="AL118" t="n">
        <v>2</v>
      </c>
      <c r="AM118" t="n">
        <v>3</v>
      </c>
      <c r="AN118" t="n">
        <v>0</v>
      </c>
      <c r="AO118" t="n">
        <v>0</v>
      </c>
      <c r="AP118" t="n">
        <v>0</v>
      </c>
      <c r="AQ118" t="n">
        <v>0</v>
      </c>
      <c r="AR118" t="inlineStr">
        <is>
          <t>No</t>
        </is>
      </c>
      <c r="AS118" t="inlineStr">
        <is>
          <t>Yes</t>
        </is>
      </c>
      <c r="AT118">
        <f>HYPERLINK("http://catalog.hathitrust.org/Record/001841113","HathiTrust Record")</f>
        <v/>
      </c>
      <c r="AU118">
        <f>HYPERLINK("https://creighton-primo.hosted.exlibrisgroup.com/primo-explore/search?tab=default_tab&amp;search_scope=EVERYTHING&amp;vid=01CRU&amp;lang=en_US&amp;offset=0&amp;query=any,contains,991001027169702656","Catalog Record")</f>
        <v/>
      </c>
      <c r="AV118">
        <f>HYPERLINK("http://www.worldcat.org/oclc/14931245","WorldCat Record")</f>
        <v/>
      </c>
      <c r="AW118" t="inlineStr">
        <is>
          <t>897435686:eng</t>
        </is>
      </c>
      <c r="AX118" t="inlineStr">
        <is>
          <t>14931245</t>
        </is>
      </c>
      <c r="AY118" t="inlineStr">
        <is>
          <t>991001027169702656</t>
        </is>
      </c>
      <c r="AZ118" t="inlineStr">
        <is>
          <t>991001027169702656</t>
        </is>
      </c>
      <c r="BA118" t="inlineStr">
        <is>
          <t>2257078040002656</t>
        </is>
      </c>
      <c r="BB118" t="inlineStr">
        <is>
          <t>BOOK</t>
        </is>
      </c>
      <c r="BD118" t="inlineStr">
        <is>
          <t>9780387963907</t>
        </is>
      </c>
      <c r="BE118" t="inlineStr">
        <is>
          <t>30001002242958</t>
        </is>
      </c>
      <c r="BF118" t="inlineStr">
        <is>
          <t>893740683</t>
        </is>
      </c>
    </row>
    <row r="119">
      <c r="A119" t="inlineStr">
        <is>
          <t>No</t>
        </is>
      </c>
      <c r="B119" t="inlineStr">
        <is>
          <t>CUHSL</t>
        </is>
      </c>
      <c r="C119" t="inlineStr">
        <is>
          <t>SHELVES</t>
        </is>
      </c>
      <c r="D119" t="inlineStr">
        <is>
          <t>W 18 O94 1982</t>
        </is>
      </c>
      <c r="E119" t="inlineStr">
        <is>
          <t>0                      W  0018000O  94          1982</t>
        </is>
      </c>
      <c r="F119" t="inlineStr">
        <is>
          <t>Outline of forensic dentistry / editors, James A. Cottone, S. Miles Standish.</t>
        </is>
      </c>
      <c r="H119" t="inlineStr">
        <is>
          <t>No</t>
        </is>
      </c>
      <c r="I119" t="inlineStr">
        <is>
          <t>1</t>
        </is>
      </c>
      <c r="J119" t="inlineStr">
        <is>
          <t>No</t>
        </is>
      </c>
      <c r="K119" t="inlineStr">
        <is>
          <t>No</t>
        </is>
      </c>
      <c r="L119" t="inlineStr">
        <is>
          <t>0</t>
        </is>
      </c>
      <c r="N119" t="inlineStr">
        <is>
          <t>Chicago : Year Book Medical Publishers, c1982.</t>
        </is>
      </c>
      <c r="O119" t="inlineStr">
        <is>
          <t>1982</t>
        </is>
      </c>
      <c r="Q119" t="inlineStr">
        <is>
          <t>eng</t>
        </is>
      </c>
      <c r="R119" t="inlineStr">
        <is>
          <t>xxu</t>
        </is>
      </c>
      <c r="T119" t="inlineStr">
        <is>
          <t xml:space="preserve">W  </t>
        </is>
      </c>
      <c r="U119" t="n">
        <v>10</v>
      </c>
      <c r="V119" t="n">
        <v>10</v>
      </c>
      <c r="W119" t="inlineStr">
        <is>
          <t>1998-10-22</t>
        </is>
      </c>
      <c r="X119" t="inlineStr">
        <is>
          <t>1998-10-22</t>
        </is>
      </c>
      <c r="Y119" t="inlineStr">
        <is>
          <t>1987-10-09</t>
        </is>
      </c>
      <c r="Z119" t="inlineStr">
        <is>
          <t>1987-10-09</t>
        </is>
      </c>
      <c r="AA119" t="n">
        <v>114</v>
      </c>
      <c r="AB119" t="n">
        <v>67</v>
      </c>
      <c r="AC119" t="n">
        <v>69</v>
      </c>
      <c r="AD119" t="n">
        <v>1</v>
      </c>
      <c r="AE119" t="n">
        <v>1</v>
      </c>
      <c r="AF119" t="n">
        <v>3</v>
      </c>
      <c r="AG119" t="n">
        <v>3</v>
      </c>
      <c r="AH119" t="n">
        <v>0</v>
      </c>
      <c r="AI119" t="n">
        <v>0</v>
      </c>
      <c r="AJ119" t="n">
        <v>2</v>
      </c>
      <c r="AK119" t="n">
        <v>2</v>
      </c>
      <c r="AL119" t="n">
        <v>2</v>
      </c>
      <c r="AM119" t="n">
        <v>2</v>
      </c>
      <c r="AN119" t="n">
        <v>0</v>
      </c>
      <c r="AO119" t="n">
        <v>0</v>
      </c>
      <c r="AP119" t="n">
        <v>0</v>
      </c>
      <c r="AQ119" t="n">
        <v>0</v>
      </c>
      <c r="AR119" t="inlineStr">
        <is>
          <t>No</t>
        </is>
      </c>
      <c r="AS119" t="inlineStr">
        <is>
          <t>Yes</t>
        </is>
      </c>
      <c r="AT119">
        <f>HYPERLINK("http://catalog.hathitrust.org/Record/000187550","HathiTrust Record")</f>
        <v/>
      </c>
      <c r="AU119">
        <f>HYPERLINK("https://creighton-primo.hosted.exlibrisgroup.com/primo-explore/search?tab=default_tab&amp;search_scope=EVERYTHING&amp;vid=01CRU&amp;lang=en_US&amp;offset=0&amp;query=any,contains,991001169059702656","Catalog Record")</f>
        <v/>
      </c>
      <c r="AV119">
        <f>HYPERLINK("http://www.worldcat.org/oclc/8115277","WorldCat Record")</f>
        <v/>
      </c>
      <c r="AW119" t="inlineStr">
        <is>
          <t>359169420:eng</t>
        </is>
      </c>
      <c r="AX119" t="inlineStr">
        <is>
          <t>8115277</t>
        </is>
      </c>
      <c r="AY119" t="inlineStr">
        <is>
          <t>991001169059702656</t>
        </is>
      </c>
      <c r="AZ119" t="inlineStr">
        <is>
          <t>991001169059702656</t>
        </is>
      </c>
      <c r="BA119" t="inlineStr">
        <is>
          <t>2265497810002656</t>
        </is>
      </c>
      <c r="BB119" t="inlineStr">
        <is>
          <t>BOOK</t>
        </is>
      </c>
      <c r="BD119" t="inlineStr">
        <is>
          <t>9780815118688</t>
        </is>
      </c>
      <c r="BE119" t="inlineStr">
        <is>
          <t>30001000306425</t>
        </is>
      </c>
      <c r="BF119" t="inlineStr">
        <is>
          <t>893284511</t>
        </is>
      </c>
    </row>
    <row r="120">
      <c r="A120" t="inlineStr">
        <is>
          <t>No</t>
        </is>
      </c>
      <c r="B120" t="inlineStr">
        <is>
          <t>CUHSL</t>
        </is>
      </c>
      <c r="C120" t="inlineStr">
        <is>
          <t>SHELVES</t>
        </is>
      </c>
      <c r="D120" t="inlineStr">
        <is>
          <t>W 18 P187 1989</t>
        </is>
      </c>
      <c r="E120" t="inlineStr">
        <is>
          <t>0                      W  0018000P  187         1989</t>
        </is>
      </c>
      <c r="F120" t="inlineStr">
        <is>
          <t>Medical education in the Americas : the challenge of the nineties : final report of the EMA Project / Panamerican Federation of Associations of Medical Schools (PAFAMS) ; work coordinated by the Brazilian Association of Medical Education (ABEM) with the support of the W.K. Kellogg Foundation.</t>
        </is>
      </c>
      <c r="H120" t="inlineStr">
        <is>
          <t>No</t>
        </is>
      </c>
      <c r="I120" t="inlineStr">
        <is>
          <t>1</t>
        </is>
      </c>
      <c r="J120" t="inlineStr">
        <is>
          <t>No</t>
        </is>
      </c>
      <c r="K120" t="inlineStr">
        <is>
          <t>No</t>
        </is>
      </c>
      <c r="L120" t="inlineStr">
        <is>
          <t>0</t>
        </is>
      </c>
      <c r="M120" t="inlineStr">
        <is>
          <t>Pan American Federation of Associations of Medical Schools.</t>
        </is>
      </c>
      <c r="N120" t="inlineStr">
        <is>
          <t>[Washington, D.C.] : Educational Commission for Foreign Medical Graduates, [199-?].</t>
        </is>
      </c>
      <c r="O120" t="inlineStr">
        <is>
          <t>1990</t>
        </is>
      </c>
      <c r="Q120" t="inlineStr">
        <is>
          <t>eng</t>
        </is>
      </c>
      <c r="R120" t="inlineStr">
        <is>
          <t>dcu</t>
        </is>
      </c>
      <c r="T120" t="inlineStr">
        <is>
          <t xml:space="preserve">W  </t>
        </is>
      </c>
      <c r="U120" t="n">
        <v>2</v>
      </c>
      <c r="V120" t="n">
        <v>2</v>
      </c>
      <c r="W120" t="inlineStr">
        <is>
          <t>2003-03-04</t>
        </is>
      </c>
      <c r="X120" t="inlineStr">
        <is>
          <t>2003-03-04</t>
        </is>
      </c>
      <c r="Y120" t="inlineStr">
        <is>
          <t>1995-11-16</t>
        </is>
      </c>
      <c r="Z120" t="inlineStr">
        <is>
          <t>1995-11-16</t>
        </is>
      </c>
      <c r="AA120" t="n">
        <v>58</v>
      </c>
      <c r="AB120" t="n">
        <v>55</v>
      </c>
      <c r="AC120" t="n">
        <v>60</v>
      </c>
      <c r="AD120" t="n">
        <v>1</v>
      </c>
      <c r="AE120" t="n">
        <v>1</v>
      </c>
      <c r="AF120" t="n">
        <v>1</v>
      </c>
      <c r="AG120" t="n">
        <v>1</v>
      </c>
      <c r="AH120" t="n">
        <v>0</v>
      </c>
      <c r="AI120" t="n">
        <v>0</v>
      </c>
      <c r="AJ120" t="n">
        <v>0</v>
      </c>
      <c r="AK120" t="n">
        <v>0</v>
      </c>
      <c r="AL120" t="n">
        <v>1</v>
      </c>
      <c r="AM120" t="n">
        <v>1</v>
      </c>
      <c r="AN120" t="n">
        <v>0</v>
      </c>
      <c r="AO120" t="n">
        <v>0</v>
      </c>
      <c r="AP120" t="n">
        <v>0</v>
      </c>
      <c r="AQ120" t="n">
        <v>0</v>
      </c>
      <c r="AR120" t="inlineStr">
        <is>
          <t>No</t>
        </is>
      </c>
      <c r="AS120" t="inlineStr">
        <is>
          <t>Yes</t>
        </is>
      </c>
      <c r="AT120">
        <f>HYPERLINK("http://catalog.hathitrust.org/Record/005143494","HathiTrust Record")</f>
        <v/>
      </c>
      <c r="AU120">
        <f>HYPERLINK("https://creighton-primo.hosted.exlibrisgroup.com/primo-explore/search?tab=default_tab&amp;search_scope=EVERYTHING&amp;vid=01CRU&amp;lang=en_US&amp;offset=0&amp;query=any,contains,991001496539702656","Catalog Record")</f>
        <v/>
      </c>
      <c r="AV120">
        <f>HYPERLINK("http://www.worldcat.org/oclc/33289979","WorldCat Record")</f>
        <v/>
      </c>
      <c r="AW120" t="inlineStr">
        <is>
          <t>38247406:eng</t>
        </is>
      </c>
      <c r="AX120" t="inlineStr">
        <is>
          <t>33289979</t>
        </is>
      </c>
      <c r="AY120" t="inlineStr">
        <is>
          <t>991001496539702656</t>
        </is>
      </c>
      <c r="AZ120" t="inlineStr">
        <is>
          <t>991001496539702656</t>
        </is>
      </c>
      <c r="BA120" t="inlineStr">
        <is>
          <t>2255257800002656</t>
        </is>
      </c>
      <c r="BB120" t="inlineStr">
        <is>
          <t>BOOK</t>
        </is>
      </c>
      <c r="BE120" t="inlineStr">
        <is>
          <t>30001003261585</t>
        </is>
      </c>
      <c r="BF120" t="inlineStr">
        <is>
          <t>893638390</t>
        </is>
      </c>
    </row>
    <row r="121">
      <c r="A121" t="inlineStr">
        <is>
          <t>No</t>
        </is>
      </c>
      <c r="B121" t="inlineStr">
        <is>
          <t>CUHSL</t>
        </is>
      </c>
      <c r="C121" t="inlineStr">
        <is>
          <t>SHELVES</t>
        </is>
      </c>
      <c r="D121" t="inlineStr">
        <is>
          <t>W 18 P514ha 1991</t>
        </is>
      </c>
      <c r="E121" t="inlineStr">
        <is>
          <t>0                      W  0018000P  514ha       1991</t>
        </is>
      </c>
      <c r="F121" t="inlineStr">
        <is>
          <t>Healthy America : practitioners for 2005 : an agenda for action for U.S. health professional schools / a report of the Pew Health Professions Commission ; [Daniel A. Shugars, Edward H. O'Neil, James D. Bader, editors].</t>
        </is>
      </c>
      <c r="H121" t="inlineStr">
        <is>
          <t>No</t>
        </is>
      </c>
      <c r="I121" t="inlineStr">
        <is>
          <t>1</t>
        </is>
      </c>
      <c r="J121" t="inlineStr">
        <is>
          <t>No</t>
        </is>
      </c>
      <c r="K121" t="inlineStr">
        <is>
          <t>No</t>
        </is>
      </c>
      <c r="L121" t="inlineStr">
        <is>
          <t>0</t>
        </is>
      </c>
      <c r="M121" t="inlineStr">
        <is>
          <t>Pew Health Professions Commission.</t>
        </is>
      </c>
      <c r="N121" t="inlineStr">
        <is>
          <t>Durham, NC (3101 Petty Rd., Suite 1106, Durham 27707) : Pew Health Professions Commission, c1991.</t>
        </is>
      </c>
      <c r="O121" t="inlineStr">
        <is>
          <t>1991</t>
        </is>
      </c>
      <c r="Q121" t="inlineStr">
        <is>
          <t>eng</t>
        </is>
      </c>
      <c r="R121" t="inlineStr">
        <is>
          <t>ncu</t>
        </is>
      </c>
      <c r="T121" t="inlineStr">
        <is>
          <t xml:space="preserve">W  </t>
        </is>
      </c>
      <c r="U121" t="n">
        <v>13</v>
      </c>
      <c r="V121" t="n">
        <v>13</v>
      </c>
      <c r="W121" t="inlineStr">
        <is>
          <t>1999-07-22</t>
        </is>
      </c>
      <c r="X121" t="inlineStr">
        <is>
          <t>1999-07-22</t>
        </is>
      </c>
      <c r="Y121" t="inlineStr">
        <is>
          <t>1994-02-11</t>
        </is>
      </c>
      <c r="Z121" t="inlineStr">
        <is>
          <t>1994-02-11</t>
        </is>
      </c>
      <c r="AA121" t="n">
        <v>107</v>
      </c>
      <c r="AB121" t="n">
        <v>101</v>
      </c>
      <c r="AC121" t="n">
        <v>127</v>
      </c>
      <c r="AD121" t="n">
        <v>1</v>
      </c>
      <c r="AE121" t="n">
        <v>1</v>
      </c>
      <c r="AF121" t="n">
        <v>1</v>
      </c>
      <c r="AG121" t="n">
        <v>2</v>
      </c>
      <c r="AH121" t="n">
        <v>0</v>
      </c>
      <c r="AI121" t="n">
        <v>1</v>
      </c>
      <c r="AJ121" t="n">
        <v>0</v>
      </c>
      <c r="AK121" t="n">
        <v>0</v>
      </c>
      <c r="AL121" t="n">
        <v>1</v>
      </c>
      <c r="AM121" t="n">
        <v>1</v>
      </c>
      <c r="AN121" t="n">
        <v>0</v>
      </c>
      <c r="AO121" t="n">
        <v>0</v>
      </c>
      <c r="AP121" t="n">
        <v>0</v>
      </c>
      <c r="AQ121" t="n">
        <v>0</v>
      </c>
      <c r="AR121" t="inlineStr">
        <is>
          <t>No</t>
        </is>
      </c>
      <c r="AS121" t="inlineStr">
        <is>
          <t>No</t>
        </is>
      </c>
      <c r="AU121">
        <f>HYPERLINK("https://creighton-primo.hosted.exlibrisgroup.com/primo-explore/search?tab=default_tab&amp;search_scope=EVERYTHING&amp;vid=01CRU&amp;lang=en_US&amp;offset=0&amp;query=any,contains,991000668219702656","Catalog Record")</f>
        <v/>
      </c>
      <c r="AV121">
        <f>HYPERLINK("http://www.worldcat.org/oclc/28028643","WorldCat Record")</f>
        <v/>
      </c>
      <c r="AW121" t="inlineStr">
        <is>
          <t>26302437:eng</t>
        </is>
      </c>
      <c r="AX121" t="inlineStr">
        <is>
          <t>28028643</t>
        </is>
      </c>
      <c r="AY121" t="inlineStr">
        <is>
          <t>991000668219702656</t>
        </is>
      </c>
      <c r="AZ121" t="inlineStr">
        <is>
          <t>991000668219702656</t>
        </is>
      </c>
      <c r="BA121" t="inlineStr">
        <is>
          <t>2264531140002656</t>
        </is>
      </c>
      <c r="BB121" t="inlineStr">
        <is>
          <t>BOOK</t>
        </is>
      </c>
      <c r="BE121" t="inlineStr">
        <is>
          <t>30001002695353</t>
        </is>
      </c>
      <c r="BF121" t="inlineStr">
        <is>
          <t>893283389</t>
        </is>
      </c>
    </row>
    <row r="122">
      <c r="A122" t="inlineStr">
        <is>
          <t>No</t>
        </is>
      </c>
      <c r="B122" t="inlineStr">
        <is>
          <t>CUHSL</t>
        </is>
      </c>
      <c r="C122" t="inlineStr">
        <is>
          <t>SHELVES</t>
        </is>
      </c>
      <c r="D122" t="inlineStr">
        <is>
          <t>W 18 P5784 1984</t>
        </is>
      </c>
      <c r="E122" t="inlineStr">
        <is>
          <t>0                      W  0018000P  5784        1984</t>
        </is>
      </c>
      <c r="F122" t="inlineStr">
        <is>
          <t>Physicians for the twenty-first century : report of the Project Panel on the General Professional Education of the Physician and College Preparation for Medicine.</t>
        </is>
      </c>
      <c r="H122" t="inlineStr">
        <is>
          <t>No</t>
        </is>
      </c>
      <c r="I122" t="inlineStr">
        <is>
          <t>1</t>
        </is>
      </c>
      <c r="J122" t="inlineStr">
        <is>
          <t>No</t>
        </is>
      </c>
      <c r="K122" t="inlineStr">
        <is>
          <t>No</t>
        </is>
      </c>
      <c r="L122" t="inlineStr">
        <is>
          <t>0</t>
        </is>
      </c>
      <c r="N122" t="inlineStr">
        <is>
          <t>Washington, D.C. : Association of American Medical Colleges, c1984.</t>
        </is>
      </c>
      <c r="O122" t="inlineStr">
        <is>
          <t>1984</t>
        </is>
      </c>
      <c r="Q122" t="inlineStr">
        <is>
          <t>eng</t>
        </is>
      </c>
      <c r="R122" t="inlineStr">
        <is>
          <t>xxu</t>
        </is>
      </c>
      <c r="S122" t="inlineStr">
        <is>
          <t>Journal of medical education ; vol. 59, no. 11, pt. 2 (Nov. 1984)</t>
        </is>
      </c>
      <c r="T122" t="inlineStr">
        <is>
          <t xml:space="preserve">W  </t>
        </is>
      </c>
      <c r="U122" t="n">
        <v>7</v>
      </c>
      <c r="V122" t="n">
        <v>7</v>
      </c>
      <c r="W122" t="inlineStr">
        <is>
          <t>1994-01-21</t>
        </is>
      </c>
      <c r="X122" t="inlineStr">
        <is>
          <t>1994-01-21</t>
        </is>
      </c>
      <c r="Y122" t="inlineStr">
        <is>
          <t>1988-01-12</t>
        </is>
      </c>
      <c r="Z122" t="inlineStr">
        <is>
          <t>1988-01-12</t>
        </is>
      </c>
      <c r="AA122" t="n">
        <v>80</v>
      </c>
      <c r="AB122" t="n">
        <v>62</v>
      </c>
      <c r="AC122" t="n">
        <v>155</v>
      </c>
      <c r="AD122" t="n">
        <v>1</v>
      </c>
      <c r="AE122" t="n">
        <v>1</v>
      </c>
      <c r="AF122" t="n">
        <v>1</v>
      </c>
      <c r="AG122" t="n">
        <v>4</v>
      </c>
      <c r="AH122" t="n">
        <v>0</v>
      </c>
      <c r="AI122" t="n">
        <v>1</v>
      </c>
      <c r="AJ122" t="n">
        <v>1</v>
      </c>
      <c r="AK122" t="n">
        <v>1</v>
      </c>
      <c r="AL122" t="n">
        <v>1</v>
      </c>
      <c r="AM122" t="n">
        <v>2</v>
      </c>
      <c r="AN122" t="n">
        <v>0</v>
      </c>
      <c r="AO122" t="n">
        <v>0</v>
      </c>
      <c r="AP122" t="n">
        <v>0</v>
      </c>
      <c r="AQ122" t="n">
        <v>1</v>
      </c>
      <c r="AR122" t="inlineStr">
        <is>
          <t>No</t>
        </is>
      </c>
      <c r="AS122" t="inlineStr">
        <is>
          <t>Yes</t>
        </is>
      </c>
      <c r="AT122">
        <f>HYPERLINK("http://catalog.hathitrust.org/Record/010376733","HathiTrust Record")</f>
        <v/>
      </c>
      <c r="AU122">
        <f>HYPERLINK("https://creighton-primo.hosted.exlibrisgroup.com/primo-explore/search?tab=default_tab&amp;search_scope=EVERYTHING&amp;vid=01CRU&amp;lang=en_US&amp;offset=0&amp;query=any,contains,991001537039702656","Catalog Record")</f>
        <v/>
      </c>
      <c r="AV122">
        <f>HYPERLINK("http://www.worldcat.org/oclc/12906556","WorldCat Record")</f>
        <v/>
      </c>
      <c r="AW122" t="inlineStr">
        <is>
          <t>31204873:eng</t>
        </is>
      </c>
      <c r="AX122" t="inlineStr">
        <is>
          <t>12906556</t>
        </is>
      </c>
      <c r="AY122" t="inlineStr">
        <is>
          <t>991001537039702656</t>
        </is>
      </c>
      <c r="AZ122" t="inlineStr">
        <is>
          <t>991001537039702656</t>
        </is>
      </c>
      <c r="BA122" t="inlineStr">
        <is>
          <t>2257510030002656</t>
        </is>
      </c>
      <c r="BB122" t="inlineStr">
        <is>
          <t>BOOK</t>
        </is>
      </c>
      <c r="BE122" t="inlineStr">
        <is>
          <t>30001000623332</t>
        </is>
      </c>
      <c r="BF122" t="inlineStr">
        <is>
          <t>893377322</t>
        </is>
      </c>
    </row>
    <row r="123">
      <c r="A123" t="inlineStr">
        <is>
          <t>No</t>
        </is>
      </c>
      <c r="B123" t="inlineStr">
        <is>
          <t>CUHSL</t>
        </is>
      </c>
      <c r="C123" t="inlineStr">
        <is>
          <t>SHELVES</t>
        </is>
      </c>
      <c r="D123" t="inlineStr">
        <is>
          <t>W 18 P895 2004</t>
        </is>
      </c>
      <c r="E123" t="inlineStr">
        <is>
          <t>0                      W  0018000P  895         2004</t>
        </is>
      </c>
      <c r="F123" t="inlineStr">
        <is>
          <t>Practical health care simulations / [editors] Gary E. Loyd, Carol L. Lake, Ruth B. Greenberg.</t>
        </is>
      </c>
      <c r="H123" t="inlineStr">
        <is>
          <t>No</t>
        </is>
      </c>
      <c r="I123" t="inlineStr">
        <is>
          <t>1</t>
        </is>
      </c>
      <c r="J123" t="inlineStr">
        <is>
          <t>No</t>
        </is>
      </c>
      <c r="K123" t="inlineStr">
        <is>
          <t>No</t>
        </is>
      </c>
      <c r="L123" t="inlineStr">
        <is>
          <t>0</t>
        </is>
      </c>
      <c r="N123" t="inlineStr">
        <is>
          <t>Philadelphia, Pa. : Elsevier Mosby, c2004.</t>
        </is>
      </c>
      <c r="O123" t="inlineStr">
        <is>
          <t>2004</t>
        </is>
      </c>
      <c r="Q123" t="inlineStr">
        <is>
          <t>eng</t>
        </is>
      </c>
      <c r="R123" t="inlineStr">
        <is>
          <t>pau</t>
        </is>
      </c>
      <c r="T123" t="inlineStr">
        <is>
          <t xml:space="preserve">W  </t>
        </is>
      </c>
      <c r="U123" t="n">
        <v>0</v>
      </c>
      <c r="V123" t="n">
        <v>0</v>
      </c>
      <c r="W123" t="inlineStr">
        <is>
          <t>2004-09-24</t>
        </is>
      </c>
      <c r="X123" t="inlineStr">
        <is>
          <t>2004-09-24</t>
        </is>
      </c>
      <c r="Y123" t="inlineStr">
        <is>
          <t>2004-09-22</t>
        </is>
      </c>
      <c r="Z123" t="inlineStr">
        <is>
          <t>2004-09-22</t>
        </is>
      </c>
      <c r="AA123" t="n">
        <v>92</v>
      </c>
      <c r="AB123" t="n">
        <v>66</v>
      </c>
      <c r="AC123" t="n">
        <v>68</v>
      </c>
      <c r="AD123" t="n">
        <v>1</v>
      </c>
      <c r="AE123" t="n">
        <v>1</v>
      </c>
      <c r="AF123" t="n">
        <v>4</v>
      </c>
      <c r="AG123" t="n">
        <v>4</v>
      </c>
      <c r="AH123" t="n">
        <v>0</v>
      </c>
      <c r="AI123" t="n">
        <v>0</v>
      </c>
      <c r="AJ123" t="n">
        <v>2</v>
      </c>
      <c r="AK123" t="n">
        <v>2</v>
      </c>
      <c r="AL123" t="n">
        <v>2</v>
      </c>
      <c r="AM123" t="n">
        <v>2</v>
      </c>
      <c r="AN123" t="n">
        <v>0</v>
      </c>
      <c r="AO123" t="n">
        <v>0</v>
      </c>
      <c r="AP123" t="n">
        <v>0</v>
      </c>
      <c r="AQ123" t="n">
        <v>0</v>
      </c>
      <c r="AR123" t="inlineStr">
        <is>
          <t>No</t>
        </is>
      </c>
      <c r="AS123" t="inlineStr">
        <is>
          <t>Yes</t>
        </is>
      </c>
      <c r="AT123">
        <f>HYPERLINK("http://catalog.hathitrust.org/Record/004763183","HathiTrust Record")</f>
        <v/>
      </c>
      <c r="AU123">
        <f>HYPERLINK("https://creighton-primo.hosted.exlibrisgroup.com/primo-explore/search?tab=default_tab&amp;search_scope=EVERYTHING&amp;vid=01CRU&amp;lang=en_US&amp;offset=0&amp;query=any,contains,991000394349702656","Catalog Record")</f>
        <v/>
      </c>
      <c r="AV123">
        <f>HYPERLINK("http://www.worldcat.org/oclc/56334739","WorldCat Record")</f>
        <v/>
      </c>
      <c r="AW123" t="inlineStr">
        <is>
          <t>438576339:eng</t>
        </is>
      </c>
      <c r="AX123" t="inlineStr">
        <is>
          <t>56334739</t>
        </is>
      </c>
      <c r="AY123" t="inlineStr">
        <is>
          <t>991000394349702656</t>
        </is>
      </c>
      <c r="AZ123" t="inlineStr">
        <is>
          <t>991000394349702656</t>
        </is>
      </c>
      <c r="BA123" t="inlineStr">
        <is>
          <t>2267954320002656</t>
        </is>
      </c>
      <c r="BB123" t="inlineStr">
        <is>
          <t>BOOK</t>
        </is>
      </c>
      <c r="BD123" t="inlineStr">
        <is>
          <t>9781560536253</t>
        </is>
      </c>
      <c r="BE123" t="inlineStr">
        <is>
          <t>30001004978559</t>
        </is>
      </c>
      <c r="BF123" t="inlineStr">
        <is>
          <t>893269430</t>
        </is>
      </c>
    </row>
    <row r="124">
      <c r="A124" t="inlineStr">
        <is>
          <t>No</t>
        </is>
      </c>
      <c r="B124" t="inlineStr">
        <is>
          <t>CUHSL</t>
        </is>
      </c>
      <c r="C124" t="inlineStr">
        <is>
          <t>SHELVES</t>
        </is>
      </c>
      <c r="D124" t="inlineStr">
        <is>
          <t>W 18 P974 1971</t>
        </is>
      </c>
      <c r="E124" t="inlineStr">
        <is>
          <t>0                      W  0018000P  974         1971</t>
        </is>
      </c>
      <c r="F124" t="inlineStr">
        <is>
          <t>Psychosocial aspects of medical training / Compiled and edited by Robert H. Coombs, Clark E. Vincent.</t>
        </is>
      </c>
      <c r="H124" t="inlineStr">
        <is>
          <t>No</t>
        </is>
      </c>
      <c r="I124" t="inlineStr">
        <is>
          <t>1</t>
        </is>
      </c>
      <c r="J124" t="inlineStr">
        <is>
          <t>No</t>
        </is>
      </c>
      <c r="K124" t="inlineStr">
        <is>
          <t>No</t>
        </is>
      </c>
      <c r="L124" t="inlineStr">
        <is>
          <t>0</t>
        </is>
      </c>
      <c r="N124" t="inlineStr">
        <is>
          <t>Springfield, Ill. : Thomas c1971.</t>
        </is>
      </c>
      <c r="O124" t="inlineStr">
        <is>
          <t>1971</t>
        </is>
      </c>
      <c r="Q124" t="inlineStr">
        <is>
          <t>eng</t>
        </is>
      </c>
      <c r="R124" t="inlineStr">
        <is>
          <t>ilu</t>
        </is>
      </c>
      <c r="T124" t="inlineStr">
        <is>
          <t xml:space="preserve">W  </t>
        </is>
      </c>
      <c r="U124" t="n">
        <v>4</v>
      </c>
      <c r="V124" t="n">
        <v>4</v>
      </c>
      <c r="W124" t="inlineStr">
        <is>
          <t>1990-04-26</t>
        </is>
      </c>
      <c r="X124" t="inlineStr">
        <is>
          <t>1990-04-26</t>
        </is>
      </c>
      <c r="Y124" t="inlineStr">
        <is>
          <t>1987-09-30</t>
        </is>
      </c>
      <c r="Z124" t="inlineStr">
        <is>
          <t>1987-09-30</t>
        </is>
      </c>
      <c r="AA124" t="n">
        <v>191</v>
      </c>
      <c r="AB124" t="n">
        <v>154</v>
      </c>
      <c r="AC124" t="n">
        <v>156</v>
      </c>
      <c r="AD124" t="n">
        <v>1</v>
      </c>
      <c r="AE124" t="n">
        <v>1</v>
      </c>
      <c r="AF124" t="n">
        <v>4</v>
      </c>
      <c r="AG124" t="n">
        <v>4</v>
      </c>
      <c r="AH124" t="n">
        <v>1</v>
      </c>
      <c r="AI124" t="n">
        <v>1</v>
      </c>
      <c r="AJ124" t="n">
        <v>2</v>
      </c>
      <c r="AK124" t="n">
        <v>2</v>
      </c>
      <c r="AL124" t="n">
        <v>2</v>
      </c>
      <c r="AM124" t="n">
        <v>2</v>
      </c>
      <c r="AN124" t="n">
        <v>0</v>
      </c>
      <c r="AO124" t="n">
        <v>0</v>
      </c>
      <c r="AP124" t="n">
        <v>0</v>
      </c>
      <c r="AQ124" t="n">
        <v>0</v>
      </c>
      <c r="AR124" t="inlineStr">
        <is>
          <t>No</t>
        </is>
      </c>
      <c r="AS124" t="inlineStr">
        <is>
          <t>Yes</t>
        </is>
      </c>
      <c r="AT124">
        <f>HYPERLINK("http://catalog.hathitrust.org/Record/000008065","HathiTrust Record")</f>
        <v/>
      </c>
      <c r="AU124">
        <f>HYPERLINK("https://creighton-primo.hosted.exlibrisgroup.com/primo-explore/search?tab=default_tab&amp;search_scope=EVERYTHING&amp;vid=01CRU&amp;lang=en_US&amp;offset=0&amp;query=any,contains,991001168939702656","Catalog Record")</f>
        <v/>
      </c>
      <c r="AV124">
        <f>HYPERLINK("http://www.worldcat.org/oclc/592383","WorldCat Record")</f>
        <v/>
      </c>
      <c r="AW124" t="inlineStr">
        <is>
          <t>422835719:eng</t>
        </is>
      </c>
      <c r="AX124" t="inlineStr">
        <is>
          <t>592383</t>
        </is>
      </c>
      <c r="AY124" t="inlineStr">
        <is>
          <t>991001168939702656</t>
        </is>
      </c>
      <c r="AZ124" t="inlineStr">
        <is>
          <t>991001168939702656</t>
        </is>
      </c>
      <c r="BA124" t="inlineStr">
        <is>
          <t>2264304220002656</t>
        </is>
      </c>
      <c r="BB124" t="inlineStr">
        <is>
          <t>BOOK</t>
        </is>
      </c>
      <c r="BE124" t="inlineStr">
        <is>
          <t>30001000306391</t>
        </is>
      </c>
      <c r="BF124" t="inlineStr">
        <is>
          <t>893467836</t>
        </is>
      </c>
    </row>
    <row r="125">
      <c r="A125" t="inlineStr">
        <is>
          <t>No</t>
        </is>
      </c>
      <c r="B125" t="inlineStr">
        <is>
          <t>CUHSL</t>
        </is>
      </c>
      <c r="C125" t="inlineStr">
        <is>
          <t>SHELVES</t>
        </is>
      </c>
      <c r="D125" t="inlineStr">
        <is>
          <t>W 18 R332 1969</t>
        </is>
      </c>
      <c r="E125" t="inlineStr">
        <is>
          <t>0                      W  0018000R  332         1969</t>
        </is>
      </c>
      <c r="F125" t="inlineStr">
        <is>
          <t>Reform of medical education : the effect of student unrest / Julius R. Krevans [and] Peter G. Condliffe, editors.</t>
        </is>
      </c>
      <c r="H125" t="inlineStr">
        <is>
          <t>No</t>
        </is>
      </c>
      <c r="I125" t="inlineStr">
        <is>
          <t>1</t>
        </is>
      </c>
      <c r="J125" t="inlineStr">
        <is>
          <t>No</t>
        </is>
      </c>
      <c r="K125" t="inlineStr">
        <is>
          <t>No</t>
        </is>
      </c>
      <c r="L125" t="inlineStr">
        <is>
          <t>0</t>
        </is>
      </c>
      <c r="N125" t="inlineStr">
        <is>
          <t>Washington : National Academy of Sciences, 1970.</t>
        </is>
      </c>
      <c r="O125" t="inlineStr">
        <is>
          <t>1970</t>
        </is>
      </c>
      <c r="Q125" t="inlineStr">
        <is>
          <t>eng</t>
        </is>
      </c>
      <c r="R125" t="inlineStr">
        <is>
          <t>dcu</t>
        </is>
      </c>
      <c r="S125" t="inlineStr">
        <is>
          <t>Fogarty International Center proceedings ; no. 1</t>
        </is>
      </c>
      <c r="T125" t="inlineStr">
        <is>
          <t xml:space="preserve">W  </t>
        </is>
      </c>
      <c r="U125" t="n">
        <v>3</v>
      </c>
      <c r="V125" t="n">
        <v>3</v>
      </c>
      <c r="W125" t="inlineStr">
        <is>
          <t>1990-04-26</t>
        </is>
      </c>
      <c r="X125" t="inlineStr">
        <is>
          <t>1990-04-26</t>
        </is>
      </c>
      <c r="Y125" t="inlineStr">
        <is>
          <t>1987-10-07</t>
        </is>
      </c>
      <c r="Z125" t="inlineStr">
        <is>
          <t>1987-10-07</t>
        </is>
      </c>
      <c r="AA125" t="n">
        <v>253</v>
      </c>
      <c r="AB125" t="n">
        <v>215</v>
      </c>
      <c r="AC125" t="n">
        <v>223</v>
      </c>
      <c r="AD125" t="n">
        <v>2</v>
      </c>
      <c r="AE125" t="n">
        <v>2</v>
      </c>
      <c r="AF125" t="n">
        <v>5</v>
      </c>
      <c r="AG125" t="n">
        <v>5</v>
      </c>
      <c r="AH125" t="n">
        <v>0</v>
      </c>
      <c r="AI125" t="n">
        <v>0</v>
      </c>
      <c r="AJ125" t="n">
        <v>0</v>
      </c>
      <c r="AK125" t="n">
        <v>0</v>
      </c>
      <c r="AL125" t="n">
        <v>4</v>
      </c>
      <c r="AM125" t="n">
        <v>4</v>
      </c>
      <c r="AN125" t="n">
        <v>1</v>
      </c>
      <c r="AO125" t="n">
        <v>1</v>
      </c>
      <c r="AP125" t="n">
        <v>0</v>
      </c>
      <c r="AQ125" t="n">
        <v>0</v>
      </c>
      <c r="AR125" t="inlineStr">
        <is>
          <t>No</t>
        </is>
      </c>
      <c r="AS125" t="inlineStr">
        <is>
          <t>Yes</t>
        </is>
      </c>
      <c r="AT125">
        <f>HYPERLINK("http://catalog.hathitrust.org/Record/001558040","HathiTrust Record")</f>
        <v/>
      </c>
      <c r="AU125">
        <f>HYPERLINK("https://creighton-primo.hosted.exlibrisgroup.com/primo-explore/search?tab=default_tab&amp;search_scope=EVERYTHING&amp;vid=01CRU&amp;lang=en_US&amp;offset=0&amp;query=any,contains,991001168869702656","Catalog Record")</f>
        <v/>
      </c>
      <c r="AV125">
        <f>HYPERLINK("http://www.worldcat.org/oclc/88757","WorldCat Record")</f>
        <v/>
      </c>
      <c r="AW125" t="inlineStr">
        <is>
          <t>377910500:eng</t>
        </is>
      </c>
      <c r="AX125" t="inlineStr">
        <is>
          <t>88757</t>
        </is>
      </c>
      <c r="AY125" t="inlineStr">
        <is>
          <t>991001168869702656</t>
        </is>
      </c>
      <c r="AZ125" t="inlineStr">
        <is>
          <t>991001168869702656</t>
        </is>
      </c>
      <c r="BA125" t="inlineStr">
        <is>
          <t>2269432890002656</t>
        </is>
      </c>
      <c r="BB125" t="inlineStr">
        <is>
          <t>BOOK</t>
        </is>
      </c>
      <c r="BD125" t="inlineStr">
        <is>
          <t>9780309017572</t>
        </is>
      </c>
      <c r="BE125" t="inlineStr">
        <is>
          <t>30001000306375</t>
        </is>
      </c>
      <c r="BF125" t="inlineStr">
        <is>
          <t>893450919</t>
        </is>
      </c>
    </row>
    <row r="126">
      <c r="A126" t="inlineStr">
        <is>
          <t>No</t>
        </is>
      </c>
      <c r="B126" t="inlineStr">
        <is>
          <t>CUHSL</t>
        </is>
      </c>
      <c r="C126" t="inlineStr">
        <is>
          <t>SHELVES</t>
        </is>
      </c>
      <c r="D126" t="inlineStr">
        <is>
          <t>W 18 R467i 1985</t>
        </is>
      </c>
      <c r="E126" t="inlineStr">
        <is>
          <t>0                      W  0018000R  467i        1985</t>
        </is>
      </c>
      <c r="F126" t="inlineStr">
        <is>
          <t>The interpersonal dimension in medical education / Agnes G. Rezler, Joseph A. Flaherty.</t>
        </is>
      </c>
      <c r="H126" t="inlineStr">
        <is>
          <t>No</t>
        </is>
      </c>
      <c r="I126" t="inlineStr">
        <is>
          <t>1</t>
        </is>
      </c>
      <c r="J126" t="inlineStr">
        <is>
          <t>No</t>
        </is>
      </c>
      <c r="K126" t="inlineStr">
        <is>
          <t>No</t>
        </is>
      </c>
      <c r="L126" t="inlineStr">
        <is>
          <t>0</t>
        </is>
      </c>
      <c r="M126" t="inlineStr">
        <is>
          <t>Rezler, Agnes G.</t>
        </is>
      </c>
      <c r="N126" t="inlineStr">
        <is>
          <t>New York : Springer Pub. Co., c1985.</t>
        </is>
      </c>
      <c r="O126" t="inlineStr">
        <is>
          <t>1984</t>
        </is>
      </c>
      <c r="Q126" t="inlineStr">
        <is>
          <t>eng</t>
        </is>
      </c>
      <c r="R126" t="inlineStr">
        <is>
          <t xml:space="preserve">aa </t>
        </is>
      </c>
      <c r="S126" t="inlineStr">
        <is>
          <t>Springer series on medical education ; v. 6</t>
        </is>
      </c>
      <c r="T126" t="inlineStr">
        <is>
          <t xml:space="preserve">W  </t>
        </is>
      </c>
      <c r="U126" t="n">
        <v>4</v>
      </c>
      <c r="V126" t="n">
        <v>4</v>
      </c>
      <c r="W126" t="inlineStr">
        <is>
          <t>1996-02-16</t>
        </is>
      </c>
      <c r="X126" t="inlineStr">
        <is>
          <t>1996-02-16</t>
        </is>
      </c>
      <c r="Y126" t="inlineStr">
        <is>
          <t>1987-09-30</t>
        </is>
      </c>
      <c r="Z126" t="inlineStr">
        <is>
          <t>1987-09-30</t>
        </is>
      </c>
      <c r="AA126" t="n">
        <v>146</v>
      </c>
      <c r="AB126" t="n">
        <v>116</v>
      </c>
      <c r="AC126" t="n">
        <v>118</v>
      </c>
      <c r="AD126" t="n">
        <v>1</v>
      </c>
      <c r="AE126" t="n">
        <v>1</v>
      </c>
      <c r="AF126" t="n">
        <v>2</v>
      </c>
      <c r="AG126" t="n">
        <v>2</v>
      </c>
      <c r="AH126" t="n">
        <v>1</v>
      </c>
      <c r="AI126" t="n">
        <v>1</v>
      </c>
      <c r="AJ126" t="n">
        <v>0</v>
      </c>
      <c r="AK126" t="n">
        <v>0</v>
      </c>
      <c r="AL126" t="n">
        <v>2</v>
      </c>
      <c r="AM126" t="n">
        <v>2</v>
      </c>
      <c r="AN126" t="n">
        <v>0</v>
      </c>
      <c r="AO126" t="n">
        <v>0</v>
      </c>
      <c r="AP126" t="n">
        <v>0</v>
      </c>
      <c r="AQ126" t="n">
        <v>0</v>
      </c>
      <c r="AR126" t="inlineStr">
        <is>
          <t>No</t>
        </is>
      </c>
      <c r="AS126" t="inlineStr">
        <is>
          <t>Yes</t>
        </is>
      </c>
      <c r="AT126">
        <f>HYPERLINK("http://catalog.hathitrust.org/Record/000333389","HathiTrust Record")</f>
        <v/>
      </c>
      <c r="AU126">
        <f>HYPERLINK("https://creighton-primo.hosted.exlibrisgroup.com/primo-explore/search?tab=default_tab&amp;search_scope=EVERYTHING&amp;vid=01CRU&amp;lang=en_US&amp;offset=0&amp;query=any,contains,991001170239702656","Catalog Record")</f>
        <v/>
      </c>
      <c r="AV126">
        <f>HYPERLINK("http://www.worldcat.org/oclc/11468322","WorldCat Record")</f>
        <v/>
      </c>
      <c r="AW126" t="inlineStr">
        <is>
          <t>969314:eng</t>
        </is>
      </c>
      <c r="AX126" t="inlineStr">
        <is>
          <t>11468322</t>
        </is>
      </c>
      <c r="AY126" t="inlineStr">
        <is>
          <t>991001170239702656</t>
        </is>
      </c>
      <c r="AZ126" t="inlineStr">
        <is>
          <t>991001170239702656</t>
        </is>
      </c>
      <c r="BA126" t="inlineStr">
        <is>
          <t>2255748210002656</t>
        </is>
      </c>
      <c r="BB126" t="inlineStr">
        <is>
          <t>BOOK</t>
        </is>
      </c>
      <c r="BD126" t="inlineStr">
        <is>
          <t>9780826143709</t>
        </is>
      </c>
      <c r="BE126" t="inlineStr">
        <is>
          <t>30001000306912</t>
        </is>
      </c>
      <c r="BF126" t="inlineStr">
        <is>
          <t>893736289</t>
        </is>
      </c>
    </row>
    <row r="127">
      <c r="A127" t="inlineStr">
        <is>
          <t>No</t>
        </is>
      </c>
      <c r="B127" t="inlineStr">
        <is>
          <t>CUHSL</t>
        </is>
      </c>
      <c r="C127" t="inlineStr">
        <is>
          <t>SHELVES</t>
        </is>
      </c>
      <c r="D127" t="inlineStr">
        <is>
          <t>W 18 R593e 1981</t>
        </is>
      </c>
      <c r="E127" t="inlineStr">
        <is>
          <t>0                      W  0018000R  593e        1981</t>
        </is>
      </c>
      <c r="F127" t="inlineStr">
        <is>
          <t>The evaluation of teaching in medical schools / Robert M. Rippey.</t>
        </is>
      </c>
      <c r="H127" t="inlineStr">
        <is>
          <t>No</t>
        </is>
      </c>
      <c r="I127" t="inlineStr">
        <is>
          <t>1</t>
        </is>
      </c>
      <c r="J127" t="inlineStr">
        <is>
          <t>No</t>
        </is>
      </c>
      <c r="K127" t="inlineStr">
        <is>
          <t>No</t>
        </is>
      </c>
      <c r="L127" t="inlineStr">
        <is>
          <t>0</t>
        </is>
      </c>
      <c r="M127" t="inlineStr">
        <is>
          <t>Rippey, Robert M.</t>
        </is>
      </c>
      <c r="N127" t="inlineStr">
        <is>
          <t>New York : Springer Pub. Co., c1981.</t>
        </is>
      </c>
      <c r="O127" t="inlineStr">
        <is>
          <t>1981</t>
        </is>
      </c>
      <c r="Q127" t="inlineStr">
        <is>
          <t>eng</t>
        </is>
      </c>
      <c r="R127" t="inlineStr">
        <is>
          <t>nyu</t>
        </is>
      </c>
      <c r="S127" t="inlineStr">
        <is>
          <t>Springer series on medical education ; v. 2</t>
        </is>
      </c>
      <c r="T127" t="inlineStr">
        <is>
          <t xml:space="preserve">W  </t>
        </is>
      </c>
      <c r="U127" t="n">
        <v>9</v>
      </c>
      <c r="V127" t="n">
        <v>9</v>
      </c>
      <c r="W127" t="inlineStr">
        <is>
          <t>1992-02-06</t>
        </is>
      </c>
      <c r="X127" t="inlineStr">
        <is>
          <t>1992-02-06</t>
        </is>
      </c>
      <c r="Y127" t="inlineStr">
        <is>
          <t>1991-02-27</t>
        </is>
      </c>
      <c r="Z127" t="inlineStr">
        <is>
          <t>1991-02-27</t>
        </is>
      </c>
      <c r="AA127" t="n">
        <v>147</v>
      </c>
      <c r="AB127" t="n">
        <v>108</v>
      </c>
      <c r="AC127" t="n">
        <v>111</v>
      </c>
      <c r="AD127" t="n">
        <v>1</v>
      </c>
      <c r="AE127" t="n">
        <v>1</v>
      </c>
      <c r="AF127" t="n">
        <v>2</v>
      </c>
      <c r="AG127" t="n">
        <v>2</v>
      </c>
      <c r="AH127" t="n">
        <v>0</v>
      </c>
      <c r="AI127" t="n">
        <v>0</v>
      </c>
      <c r="AJ127" t="n">
        <v>0</v>
      </c>
      <c r="AK127" t="n">
        <v>0</v>
      </c>
      <c r="AL127" t="n">
        <v>2</v>
      </c>
      <c r="AM127" t="n">
        <v>2</v>
      </c>
      <c r="AN127" t="n">
        <v>0</v>
      </c>
      <c r="AO127" t="n">
        <v>0</v>
      </c>
      <c r="AP127" t="n">
        <v>0</v>
      </c>
      <c r="AQ127" t="n">
        <v>0</v>
      </c>
      <c r="AR127" t="inlineStr">
        <is>
          <t>No</t>
        </is>
      </c>
      <c r="AS127" t="inlineStr">
        <is>
          <t>Yes</t>
        </is>
      </c>
      <c r="AT127">
        <f>HYPERLINK("http://catalog.hathitrust.org/Record/005220336","HathiTrust Record")</f>
        <v/>
      </c>
      <c r="AU127">
        <f>HYPERLINK("https://creighton-primo.hosted.exlibrisgroup.com/primo-explore/search?tab=default_tab&amp;search_scope=EVERYTHING&amp;vid=01CRU&amp;lang=en_US&amp;offset=0&amp;query=any,contains,991000815149702656","Catalog Record")</f>
        <v/>
      </c>
      <c r="AV127">
        <f>HYPERLINK("http://www.worldcat.org/oclc/6603296","WorldCat Record")</f>
        <v/>
      </c>
      <c r="AW127" t="inlineStr">
        <is>
          <t>356652:eng</t>
        </is>
      </c>
      <c r="AX127" t="inlineStr">
        <is>
          <t>6603296</t>
        </is>
      </c>
      <c r="AY127" t="inlineStr">
        <is>
          <t>991000815149702656</t>
        </is>
      </c>
      <c r="AZ127" t="inlineStr">
        <is>
          <t>991000815149702656</t>
        </is>
      </c>
      <c r="BA127" t="inlineStr">
        <is>
          <t>2255070070002656</t>
        </is>
      </c>
      <c r="BB127" t="inlineStr">
        <is>
          <t>BOOK</t>
        </is>
      </c>
      <c r="BD127" t="inlineStr">
        <is>
          <t>9780826134400</t>
        </is>
      </c>
      <c r="BE127" t="inlineStr">
        <is>
          <t>30001002085944</t>
        </is>
      </c>
      <c r="BF127" t="inlineStr">
        <is>
          <t>893540652</t>
        </is>
      </c>
    </row>
    <row r="128">
      <c r="A128" t="inlineStr">
        <is>
          <t>No</t>
        </is>
      </c>
      <c r="B128" t="inlineStr">
        <is>
          <t>CUHSL</t>
        </is>
      </c>
      <c r="C128" t="inlineStr">
        <is>
          <t>SHELVES</t>
        </is>
      </c>
      <c r="D128" t="inlineStr">
        <is>
          <t>W 18 R933s 1988</t>
        </is>
      </c>
      <c r="E128" t="inlineStr">
        <is>
          <t>0                      W  0018000R  933s        1988</t>
        </is>
      </c>
      <c r="F128" t="inlineStr">
        <is>
          <t>Saigon Medical School : an experiment in international medical education : an account of the American Medical Association's medical education project in South Viet Nam, 1966-1975 / C.H. William Ruhe, Norman W. Hoover, and Ira Singer.</t>
        </is>
      </c>
      <c r="H128" t="inlineStr">
        <is>
          <t>No</t>
        </is>
      </c>
      <c r="I128" t="inlineStr">
        <is>
          <t>1</t>
        </is>
      </c>
      <c r="J128" t="inlineStr">
        <is>
          <t>No</t>
        </is>
      </c>
      <c r="K128" t="inlineStr">
        <is>
          <t>No</t>
        </is>
      </c>
      <c r="L128" t="inlineStr">
        <is>
          <t>0</t>
        </is>
      </c>
      <c r="M128" t="inlineStr">
        <is>
          <t>Ruhe, C. H. William, 1915-</t>
        </is>
      </c>
      <c r="N128" t="inlineStr">
        <is>
          <t>Chicago, Ill. : The Association, c1988.</t>
        </is>
      </c>
      <c r="O128" t="inlineStr">
        <is>
          <t>1988</t>
        </is>
      </c>
      <c r="Q128" t="inlineStr">
        <is>
          <t>eng</t>
        </is>
      </c>
      <c r="R128" t="inlineStr">
        <is>
          <t>xxu</t>
        </is>
      </c>
      <c r="T128" t="inlineStr">
        <is>
          <t xml:space="preserve">W  </t>
        </is>
      </c>
      <c r="U128" t="n">
        <v>2</v>
      </c>
      <c r="V128" t="n">
        <v>2</v>
      </c>
      <c r="W128" t="inlineStr">
        <is>
          <t>1991-03-03</t>
        </is>
      </c>
      <c r="X128" t="inlineStr">
        <is>
          <t>1991-03-03</t>
        </is>
      </c>
      <c r="Y128" t="inlineStr">
        <is>
          <t>1989-03-22</t>
        </is>
      </c>
      <c r="Z128" t="inlineStr">
        <is>
          <t>1989-03-22</t>
        </is>
      </c>
      <c r="AA128" t="n">
        <v>101</v>
      </c>
      <c r="AB128" t="n">
        <v>96</v>
      </c>
      <c r="AC128" t="n">
        <v>98</v>
      </c>
      <c r="AD128" t="n">
        <v>1</v>
      </c>
      <c r="AE128" t="n">
        <v>1</v>
      </c>
      <c r="AF128" t="n">
        <v>1</v>
      </c>
      <c r="AG128" t="n">
        <v>1</v>
      </c>
      <c r="AH128" t="n">
        <v>0</v>
      </c>
      <c r="AI128" t="n">
        <v>0</v>
      </c>
      <c r="AJ128" t="n">
        <v>0</v>
      </c>
      <c r="AK128" t="n">
        <v>0</v>
      </c>
      <c r="AL128" t="n">
        <v>1</v>
      </c>
      <c r="AM128" t="n">
        <v>1</v>
      </c>
      <c r="AN128" t="n">
        <v>0</v>
      </c>
      <c r="AO128" t="n">
        <v>0</v>
      </c>
      <c r="AP128" t="n">
        <v>0</v>
      </c>
      <c r="AQ128" t="n">
        <v>0</v>
      </c>
      <c r="AR128" t="inlineStr">
        <is>
          <t>No</t>
        </is>
      </c>
      <c r="AS128" t="inlineStr">
        <is>
          <t>Yes</t>
        </is>
      </c>
      <c r="AT128">
        <f>HYPERLINK("http://catalog.hathitrust.org/Record/001091126","HathiTrust Record")</f>
        <v/>
      </c>
      <c r="AU128">
        <f>HYPERLINK("https://creighton-primo.hosted.exlibrisgroup.com/primo-explore/search?tab=default_tab&amp;search_scope=EVERYTHING&amp;vid=01CRU&amp;lang=en_US&amp;offset=0&amp;query=any,contains,991001114069702656","Catalog Record")</f>
        <v/>
      </c>
      <c r="AV128">
        <f>HYPERLINK("http://www.worldcat.org/oclc/17674441","WorldCat Record")</f>
        <v/>
      </c>
      <c r="AW128" t="inlineStr">
        <is>
          <t>440293044:eng</t>
        </is>
      </c>
      <c r="AX128" t="inlineStr">
        <is>
          <t>17674441</t>
        </is>
      </c>
      <c r="AY128" t="inlineStr">
        <is>
          <t>991001114069702656</t>
        </is>
      </c>
      <c r="AZ128" t="inlineStr">
        <is>
          <t>991001114069702656</t>
        </is>
      </c>
      <c r="BA128" t="inlineStr">
        <is>
          <t>2260931140002656</t>
        </is>
      </c>
      <c r="BB128" t="inlineStr">
        <is>
          <t>BOOK</t>
        </is>
      </c>
      <c r="BD128" t="inlineStr">
        <is>
          <t>9780899703145</t>
        </is>
      </c>
      <c r="BE128" t="inlineStr">
        <is>
          <t>30001001612904</t>
        </is>
      </c>
      <c r="BF128" t="inlineStr">
        <is>
          <t>893455488</t>
        </is>
      </c>
    </row>
    <row r="129">
      <c r="A129" t="inlineStr">
        <is>
          <t>No</t>
        </is>
      </c>
      <c r="B129" t="inlineStr">
        <is>
          <t>CUHSL</t>
        </is>
      </c>
      <c r="C129" t="inlineStr">
        <is>
          <t>SHELVES</t>
        </is>
      </c>
      <c r="D129" t="inlineStr">
        <is>
          <t>W 18 S246t 1981</t>
        </is>
      </c>
      <c r="E129" t="inlineStr">
        <is>
          <t>0                      W  0018000S  246t        1981</t>
        </is>
      </c>
      <c r="F129" t="inlineStr">
        <is>
          <t>Test-taking skills, a programmed text for medicine and the health sciences / by Randolph E. Sarnacki.</t>
        </is>
      </c>
      <c r="H129" t="inlineStr">
        <is>
          <t>No</t>
        </is>
      </c>
      <c r="I129" t="inlineStr">
        <is>
          <t>1</t>
        </is>
      </c>
      <c r="J129" t="inlineStr">
        <is>
          <t>No</t>
        </is>
      </c>
      <c r="K129" t="inlineStr">
        <is>
          <t>No</t>
        </is>
      </c>
      <c r="L129" t="inlineStr">
        <is>
          <t>0</t>
        </is>
      </c>
      <c r="M129" t="inlineStr">
        <is>
          <t>Sarnacki, Randolph E.</t>
        </is>
      </c>
      <c r="N129" t="inlineStr">
        <is>
          <t>Baltimore : University Park Press, c1981.</t>
        </is>
      </c>
      <c r="O129" t="inlineStr">
        <is>
          <t>1981</t>
        </is>
      </c>
      <c r="Q129" t="inlineStr">
        <is>
          <t>eng</t>
        </is>
      </c>
      <c r="R129" t="inlineStr">
        <is>
          <t>xxu</t>
        </is>
      </c>
      <c r="T129" t="inlineStr">
        <is>
          <t xml:space="preserve">W  </t>
        </is>
      </c>
      <c r="U129" t="n">
        <v>6</v>
      </c>
      <c r="V129" t="n">
        <v>6</v>
      </c>
      <c r="W129" t="inlineStr">
        <is>
          <t>1995-06-26</t>
        </is>
      </c>
      <c r="X129" t="inlineStr">
        <is>
          <t>1995-06-26</t>
        </is>
      </c>
      <c r="Y129" t="inlineStr">
        <is>
          <t>1987-09-30</t>
        </is>
      </c>
      <c r="Z129" t="inlineStr">
        <is>
          <t>1987-09-30</t>
        </is>
      </c>
      <c r="AA129" t="n">
        <v>77</v>
      </c>
      <c r="AB129" t="n">
        <v>66</v>
      </c>
      <c r="AC129" t="n">
        <v>68</v>
      </c>
      <c r="AD129" t="n">
        <v>1</v>
      </c>
      <c r="AE129" t="n">
        <v>1</v>
      </c>
      <c r="AF129" t="n">
        <v>1</v>
      </c>
      <c r="AG129" t="n">
        <v>1</v>
      </c>
      <c r="AH129" t="n">
        <v>0</v>
      </c>
      <c r="AI129" t="n">
        <v>0</v>
      </c>
      <c r="AJ129" t="n">
        <v>0</v>
      </c>
      <c r="AK129" t="n">
        <v>0</v>
      </c>
      <c r="AL129" t="n">
        <v>1</v>
      </c>
      <c r="AM129" t="n">
        <v>1</v>
      </c>
      <c r="AN129" t="n">
        <v>0</v>
      </c>
      <c r="AO129" t="n">
        <v>0</v>
      </c>
      <c r="AP129" t="n">
        <v>0</v>
      </c>
      <c r="AQ129" t="n">
        <v>0</v>
      </c>
      <c r="AR129" t="inlineStr">
        <is>
          <t>No</t>
        </is>
      </c>
      <c r="AS129" t="inlineStr">
        <is>
          <t>Yes</t>
        </is>
      </c>
      <c r="AT129">
        <f>HYPERLINK("http://catalog.hathitrust.org/Record/000772330","HathiTrust Record")</f>
        <v/>
      </c>
      <c r="AU129">
        <f>HYPERLINK("https://creighton-primo.hosted.exlibrisgroup.com/primo-explore/search?tab=default_tab&amp;search_scope=EVERYTHING&amp;vid=01CRU&amp;lang=en_US&amp;offset=0&amp;query=any,contains,991001255799702656","Catalog Record")</f>
        <v/>
      </c>
      <c r="AV129">
        <f>HYPERLINK("http://www.worldcat.org/oclc/7730946","WorldCat Record")</f>
        <v/>
      </c>
      <c r="AW129" t="inlineStr">
        <is>
          <t>504237:eng</t>
        </is>
      </c>
      <c r="AX129" t="inlineStr">
        <is>
          <t>7730946</t>
        </is>
      </c>
      <c r="AY129" t="inlineStr">
        <is>
          <t>991001255799702656</t>
        </is>
      </c>
      <c r="AZ129" t="inlineStr">
        <is>
          <t>991001255799702656</t>
        </is>
      </c>
      <c r="BA129" t="inlineStr">
        <is>
          <t>2262236260002656</t>
        </is>
      </c>
      <c r="BB129" t="inlineStr">
        <is>
          <t>BOOK</t>
        </is>
      </c>
      <c r="BD129" t="inlineStr">
        <is>
          <t>9780839116967</t>
        </is>
      </c>
      <c r="BE129" t="inlineStr">
        <is>
          <t>30001000344798</t>
        </is>
      </c>
      <c r="BF129" t="inlineStr">
        <is>
          <t>893816242</t>
        </is>
      </c>
    </row>
    <row r="130">
      <c r="A130" t="inlineStr">
        <is>
          <t>No</t>
        </is>
      </c>
      <c r="B130" t="inlineStr">
        <is>
          <t>CUHSL</t>
        </is>
      </c>
      <c r="C130" t="inlineStr">
        <is>
          <t>SHELVES</t>
        </is>
      </c>
      <c r="D130" t="inlineStr">
        <is>
          <t>W 18 S358e 1984</t>
        </is>
      </c>
      <c r="E130" t="inlineStr">
        <is>
          <t>0                      W  0018000S  358e        1984</t>
        </is>
      </c>
      <c r="F130" t="inlineStr">
        <is>
          <t>Effective test construction in the health professions / Harriet L. Schneider.</t>
        </is>
      </c>
      <c r="H130" t="inlineStr">
        <is>
          <t>No</t>
        </is>
      </c>
      <c r="I130" t="inlineStr">
        <is>
          <t>1</t>
        </is>
      </c>
      <c r="J130" t="inlineStr">
        <is>
          <t>No</t>
        </is>
      </c>
      <c r="K130" t="inlineStr">
        <is>
          <t>No</t>
        </is>
      </c>
      <c r="L130" t="inlineStr">
        <is>
          <t>0</t>
        </is>
      </c>
      <c r="M130" t="inlineStr">
        <is>
          <t>Schneider, Harriet L.</t>
        </is>
      </c>
      <c r="N130" t="inlineStr">
        <is>
          <t>Jackson, Miss. : H. &amp; B. Hess, c1984.</t>
        </is>
      </c>
      <c r="O130" t="inlineStr">
        <is>
          <t>1984</t>
        </is>
      </c>
      <c r="Q130" t="inlineStr">
        <is>
          <t>eng</t>
        </is>
      </c>
      <c r="R130" t="inlineStr">
        <is>
          <t>msu</t>
        </is>
      </c>
      <c r="T130" t="inlineStr">
        <is>
          <t xml:space="preserve">W  </t>
        </is>
      </c>
      <c r="U130" t="n">
        <v>4</v>
      </c>
      <c r="V130" t="n">
        <v>4</v>
      </c>
      <c r="W130" t="inlineStr">
        <is>
          <t>1995-07-12</t>
        </is>
      </c>
      <c r="X130" t="inlineStr">
        <is>
          <t>1995-07-12</t>
        </is>
      </c>
      <c r="Y130" t="inlineStr">
        <is>
          <t>1987-09-30</t>
        </is>
      </c>
      <c r="Z130" t="inlineStr">
        <is>
          <t>1987-09-30</t>
        </is>
      </c>
      <c r="AA130" t="n">
        <v>104</v>
      </c>
      <c r="AB130" t="n">
        <v>91</v>
      </c>
      <c r="AC130" t="n">
        <v>93</v>
      </c>
      <c r="AD130" t="n">
        <v>2</v>
      </c>
      <c r="AE130" t="n">
        <v>2</v>
      </c>
      <c r="AF130" t="n">
        <v>4</v>
      </c>
      <c r="AG130" t="n">
        <v>4</v>
      </c>
      <c r="AH130" t="n">
        <v>2</v>
      </c>
      <c r="AI130" t="n">
        <v>2</v>
      </c>
      <c r="AJ130" t="n">
        <v>0</v>
      </c>
      <c r="AK130" t="n">
        <v>0</v>
      </c>
      <c r="AL130" t="n">
        <v>1</v>
      </c>
      <c r="AM130" t="n">
        <v>1</v>
      </c>
      <c r="AN130" t="n">
        <v>1</v>
      </c>
      <c r="AO130" t="n">
        <v>1</v>
      </c>
      <c r="AP130" t="n">
        <v>0</v>
      </c>
      <c r="AQ130" t="n">
        <v>0</v>
      </c>
      <c r="AR130" t="inlineStr">
        <is>
          <t>No</t>
        </is>
      </c>
      <c r="AS130" t="inlineStr">
        <is>
          <t>Yes</t>
        </is>
      </c>
      <c r="AT130">
        <f>HYPERLINK("http://catalog.hathitrust.org/Record/000460269","HathiTrust Record")</f>
        <v/>
      </c>
      <c r="AU130">
        <f>HYPERLINK("https://creighton-primo.hosted.exlibrisgroup.com/primo-explore/search?tab=default_tab&amp;search_scope=EVERYTHING&amp;vid=01CRU&amp;lang=en_US&amp;offset=0&amp;query=any,contains,991001170049702656","Catalog Record")</f>
        <v/>
      </c>
      <c r="AV130">
        <f>HYPERLINK("http://www.worldcat.org/oclc/10641658","WorldCat Record")</f>
        <v/>
      </c>
      <c r="AW130" t="inlineStr">
        <is>
          <t>3363121:eng</t>
        </is>
      </c>
      <c r="AX130" t="inlineStr">
        <is>
          <t>10641658</t>
        </is>
      </c>
      <c r="AY130" t="inlineStr">
        <is>
          <t>991001170049702656</t>
        </is>
      </c>
      <c r="AZ130" t="inlineStr">
        <is>
          <t>991001170049702656</t>
        </is>
      </c>
      <c r="BA130" t="inlineStr">
        <is>
          <t>2255945700002656</t>
        </is>
      </c>
      <c r="BB130" t="inlineStr">
        <is>
          <t>BOOK</t>
        </is>
      </c>
      <c r="BD130" t="inlineStr">
        <is>
          <t>9780916507008</t>
        </is>
      </c>
      <c r="BE130" t="inlineStr">
        <is>
          <t>30001000306797</t>
        </is>
      </c>
      <c r="BF130" t="inlineStr">
        <is>
          <t>893358300</t>
        </is>
      </c>
    </row>
    <row r="131">
      <c r="A131" t="inlineStr">
        <is>
          <t>No</t>
        </is>
      </c>
      <c r="B131" t="inlineStr">
        <is>
          <t>CUHSL</t>
        </is>
      </c>
      <c r="C131" t="inlineStr">
        <is>
          <t>SHELVES</t>
        </is>
      </c>
      <c r="D131" t="inlineStr">
        <is>
          <t>W 18 S648m 1991</t>
        </is>
      </c>
      <c r="E131" t="inlineStr">
        <is>
          <t>0                      W  0018000S  648m        1991</t>
        </is>
      </c>
      <c r="F131" t="inlineStr">
        <is>
          <t>Medical terminology : a programmed text / Genevieve Love Smith, Phyllis E. Davis, Jeann Tannis Dennerll.</t>
        </is>
      </c>
      <c r="H131" t="inlineStr">
        <is>
          <t>No</t>
        </is>
      </c>
      <c r="I131" t="inlineStr">
        <is>
          <t>1</t>
        </is>
      </c>
      <c r="J131" t="inlineStr">
        <is>
          <t>No</t>
        </is>
      </c>
      <c r="K131" t="inlineStr">
        <is>
          <t>No</t>
        </is>
      </c>
      <c r="L131" t="inlineStr">
        <is>
          <t>0</t>
        </is>
      </c>
      <c r="M131" t="inlineStr">
        <is>
          <t>Smith, Genevieve Love.</t>
        </is>
      </c>
      <c r="N131" t="inlineStr">
        <is>
          <t>Albany, N.Y. : Delmar Publishers, c1991.</t>
        </is>
      </c>
      <c r="O131" t="inlineStr">
        <is>
          <t>1991</t>
        </is>
      </c>
      <c r="P131" t="inlineStr">
        <is>
          <t>6th ed. / revised by Jean Tannis Dennerll.</t>
        </is>
      </c>
      <c r="Q131" t="inlineStr">
        <is>
          <t>eng</t>
        </is>
      </c>
      <c r="R131" t="inlineStr">
        <is>
          <t>nyu</t>
        </is>
      </c>
      <c r="T131" t="inlineStr">
        <is>
          <t xml:space="preserve">W  </t>
        </is>
      </c>
      <c r="U131" t="n">
        <v>6</v>
      </c>
      <c r="V131" t="n">
        <v>6</v>
      </c>
      <c r="W131" t="inlineStr">
        <is>
          <t>2002-06-03</t>
        </is>
      </c>
      <c r="X131" t="inlineStr">
        <is>
          <t>2002-06-03</t>
        </is>
      </c>
      <c r="Y131" t="inlineStr">
        <is>
          <t>1993-06-01</t>
        </is>
      </c>
      <c r="Z131" t="inlineStr">
        <is>
          <t>1993-06-01</t>
        </is>
      </c>
      <c r="AA131" t="n">
        <v>146</v>
      </c>
      <c r="AB131" t="n">
        <v>127</v>
      </c>
      <c r="AC131" t="n">
        <v>507</v>
      </c>
      <c r="AD131" t="n">
        <v>2</v>
      </c>
      <c r="AE131" t="n">
        <v>4</v>
      </c>
      <c r="AF131" t="n">
        <v>0</v>
      </c>
      <c r="AG131" t="n">
        <v>11</v>
      </c>
      <c r="AH131" t="n">
        <v>0</v>
      </c>
      <c r="AI131" t="n">
        <v>5</v>
      </c>
      <c r="AJ131" t="n">
        <v>0</v>
      </c>
      <c r="AK131" t="n">
        <v>2</v>
      </c>
      <c r="AL131" t="n">
        <v>0</v>
      </c>
      <c r="AM131" t="n">
        <v>6</v>
      </c>
      <c r="AN131" t="n">
        <v>0</v>
      </c>
      <c r="AO131" t="n">
        <v>1</v>
      </c>
      <c r="AP131" t="n">
        <v>0</v>
      </c>
      <c r="AQ131" t="n">
        <v>0</v>
      </c>
      <c r="AR131" t="inlineStr">
        <is>
          <t>No</t>
        </is>
      </c>
      <c r="AS131" t="inlineStr">
        <is>
          <t>No</t>
        </is>
      </c>
      <c r="AU131">
        <f>HYPERLINK("https://creighton-primo.hosted.exlibrisgroup.com/primo-explore/search?tab=default_tab&amp;search_scope=EVERYTHING&amp;vid=01CRU&amp;lang=en_US&amp;offset=0&amp;query=any,contains,991001479769702656","Catalog Record")</f>
        <v/>
      </c>
      <c r="AV131">
        <f>HYPERLINK("http://www.worldcat.org/oclc/22765095","WorldCat Record")</f>
        <v/>
      </c>
      <c r="AW131" t="inlineStr">
        <is>
          <t>3901003211:eng</t>
        </is>
      </c>
      <c r="AX131" t="inlineStr">
        <is>
          <t>22765095</t>
        </is>
      </c>
      <c r="AY131" t="inlineStr">
        <is>
          <t>991001479769702656</t>
        </is>
      </c>
      <c r="AZ131" t="inlineStr">
        <is>
          <t>991001479769702656</t>
        </is>
      </c>
      <c r="BA131" t="inlineStr">
        <is>
          <t>2260346320002656</t>
        </is>
      </c>
      <c r="BB131" t="inlineStr">
        <is>
          <t>BOOK</t>
        </is>
      </c>
      <c r="BD131" t="inlineStr">
        <is>
          <t>9780827345638</t>
        </is>
      </c>
      <c r="BE131" t="inlineStr">
        <is>
          <t>30001002566869</t>
        </is>
      </c>
      <c r="BF131" t="inlineStr">
        <is>
          <t>893638365</t>
        </is>
      </c>
    </row>
    <row r="132">
      <c r="A132" t="inlineStr">
        <is>
          <t>No</t>
        </is>
      </c>
      <c r="B132" t="inlineStr">
        <is>
          <t>CUHSL</t>
        </is>
      </c>
      <c r="C132" t="inlineStr">
        <is>
          <t>SHELVES</t>
        </is>
      </c>
      <c r="D132" t="inlineStr">
        <is>
          <t>W 18 S698m 1985</t>
        </is>
      </c>
      <c r="E132" t="inlineStr">
        <is>
          <t>0                      W  0018000S  698m        1985</t>
        </is>
      </c>
      <c r="F132" t="inlineStr">
        <is>
          <t>MCAT medical college admission test / Lawrence Solomon, Morris Bramson.</t>
        </is>
      </c>
      <c r="H132" t="inlineStr">
        <is>
          <t>No</t>
        </is>
      </c>
      <c r="I132" t="inlineStr">
        <is>
          <t>1</t>
        </is>
      </c>
      <c r="J132" t="inlineStr">
        <is>
          <t>No</t>
        </is>
      </c>
      <c r="K132" t="inlineStr">
        <is>
          <t>No</t>
        </is>
      </c>
      <c r="L132" t="inlineStr">
        <is>
          <t>0</t>
        </is>
      </c>
      <c r="M132" t="inlineStr">
        <is>
          <t>Solomon, Lawrence.</t>
        </is>
      </c>
      <c r="N132" t="inlineStr">
        <is>
          <t>New York : Arco Pub., c1985.</t>
        </is>
      </c>
      <c r="O132" t="inlineStr">
        <is>
          <t>1985</t>
        </is>
      </c>
      <c r="P132" t="inlineStr">
        <is>
          <t>2nd ed.</t>
        </is>
      </c>
      <c r="Q132" t="inlineStr">
        <is>
          <t>eng</t>
        </is>
      </c>
      <c r="R132" t="inlineStr">
        <is>
          <t>nyu</t>
        </is>
      </c>
      <c r="S132" t="inlineStr">
        <is>
          <t>Arco professional career examination series</t>
        </is>
      </c>
      <c r="T132" t="inlineStr">
        <is>
          <t xml:space="preserve">W  </t>
        </is>
      </c>
      <c r="U132" t="n">
        <v>25</v>
      </c>
      <c r="V132" t="n">
        <v>25</v>
      </c>
      <c r="W132" t="inlineStr">
        <is>
          <t>2008-02-08</t>
        </is>
      </c>
      <c r="X132" t="inlineStr">
        <is>
          <t>2008-02-08</t>
        </is>
      </c>
      <c r="Y132" t="inlineStr">
        <is>
          <t>1987-10-05</t>
        </is>
      </c>
      <c r="Z132" t="inlineStr">
        <is>
          <t>1987-10-05</t>
        </is>
      </c>
      <c r="AA132" t="n">
        <v>145</v>
      </c>
      <c r="AB132" t="n">
        <v>130</v>
      </c>
      <c r="AC132" t="n">
        <v>261</v>
      </c>
      <c r="AD132" t="n">
        <v>3</v>
      </c>
      <c r="AE132" t="n">
        <v>3</v>
      </c>
      <c r="AF132" t="n">
        <v>2</v>
      </c>
      <c r="AG132" t="n">
        <v>3</v>
      </c>
      <c r="AH132" t="n">
        <v>1</v>
      </c>
      <c r="AI132" t="n">
        <v>1</v>
      </c>
      <c r="AJ132" t="n">
        <v>0</v>
      </c>
      <c r="AK132" t="n">
        <v>0</v>
      </c>
      <c r="AL132" t="n">
        <v>1</v>
      </c>
      <c r="AM132" t="n">
        <v>2</v>
      </c>
      <c r="AN132" t="n">
        <v>0</v>
      </c>
      <c r="AO132" t="n">
        <v>0</v>
      </c>
      <c r="AP132" t="n">
        <v>0</v>
      </c>
      <c r="AQ132" t="n">
        <v>0</v>
      </c>
      <c r="AR132" t="inlineStr">
        <is>
          <t>No</t>
        </is>
      </c>
      <c r="AS132" t="inlineStr">
        <is>
          <t>No</t>
        </is>
      </c>
      <c r="AU132">
        <f>HYPERLINK("https://creighton-primo.hosted.exlibrisgroup.com/primo-explore/search?tab=default_tab&amp;search_scope=EVERYTHING&amp;vid=01CRU&amp;lang=en_US&amp;offset=0&amp;query=any,contains,991000753429702656","Catalog Record")</f>
        <v/>
      </c>
      <c r="AV132">
        <f>HYPERLINK("http://www.worldcat.org/oclc/10605069","WorldCat Record")</f>
        <v/>
      </c>
      <c r="AW132" t="inlineStr">
        <is>
          <t>2830826:eng</t>
        </is>
      </c>
      <c r="AX132" t="inlineStr">
        <is>
          <t>10605069</t>
        </is>
      </c>
      <c r="AY132" t="inlineStr">
        <is>
          <t>991000753429702656</t>
        </is>
      </c>
      <c r="AZ132" t="inlineStr">
        <is>
          <t>991000753429702656</t>
        </is>
      </c>
      <c r="BA132" t="inlineStr">
        <is>
          <t>2258797240002656</t>
        </is>
      </c>
      <c r="BB132" t="inlineStr">
        <is>
          <t>BOOK</t>
        </is>
      </c>
      <c r="BD132" t="inlineStr">
        <is>
          <t>9780668061315</t>
        </is>
      </c>
      <c r="BE132" t="inlineStr">
        <is>
          <t>30001000051468</t>
        </is>
      </c>
      <c r="BF132" t="inlineStr">
        <is>
          <t>893735519</t>
        </is>
      </c>
    </row>
    <row r="133">
      <c r="A133" t="inlineStr">
        <is>
          <t>No</t>
        </is>
      </c>
      <c r="B133" t="inlineStr">
        <is>
          <t>CUHSL</t>
        </is>
      </c>
      <c r="C133" t="inlineStr">
        <is>
          <t>SHELVES</t>
        </is>
      </c>
      <c r="D133" t="inlineStr">
        <is>
          <t>W 18 S931h 1973</t>
        </is>
      </c>
      <c r="E133" t="inlineStr">
        <is>
          <t>0                      W  0018000S  931h        1973</t>
        </is>
      </c>
      <c r="F133" t="inlineStr">
        <is>
          <t>A handbook for change : recommendations of the Joint Commission on Medical Education / Edited by Robert Graham and Jerry Royer.</t>
        </is>
      </c>
      <c r="H133" t="inlineStr">
        <is>
          <t>No</t>
        </is>
      </c>
      <c r="I133" t="inlineStr">
        <is>
          <t>1</t>
        </is>
      </c>
      <c r="J133" t="inlineStr">
        <is>
          <t>No</t>
        </is>
      </c>
      <c r="K133" t="inlineStr">
        <is>
          <t>No</t>
        </is>
      </c>
      <c r="L133" t="inlineStr">
        <is>
          <t>0</t>
        </is>
      </c>
      <c r="M133" t="inlineStr">
        <is>
          <t>Student American Medical Association. Joint Commission on Medical Education.</t>
        </is>
      </c>
      <c r="N133" t="inlineStr">
        <is>
          <t>Rolling Meadows, IL. : Student American Medical Association, 1972 c1973.</t>
        </is>
      </c>
      <c r="O133" t="inlineStr">
        <is>
          <t>1972</t>
        </is>
      </c>
      <c r="Q133" t="inlineStr">
        <is>
          <t>eng</t>
        </is>
      </c>
      <c r="R133" t="inlineStr">
        <is>
          <t>ilu</t>
        </is>
      </c>
      <c r="T133" t="inlineStr">
        <is>
          <t xml:space="preserve">W  </t>
        </is>
      </c>
      <c r="U133" t="n">
        <v>1</v>
      </c>
      <c r="V133" t="n">
        <v>1</v>
      </c>
      <c r="W133" t="inlineStr">
        <is>
          <t>1994-06-06</t>
        </is>
      </c>
      <c r="X133" t="inlineStr">
        <is>
          <t>1994-06-06</t>
        </is>
      </c>
      <c r="Y133" t="inlineStr">
        <is>
          <t>1987-10-08</t>
        </is>
      </c>
      <c r="Z133" t="inlineStr">
        <is>
          <t>1987-10-08</t>
        </is>
      </c>
      <c r="AA133" t="n">
        <v>68</v>
      </c>
      <c r="AB133" t="n">
        <v>63</v>
      </c>
      <c r="AC133" t="n">
        <v>81</v>
      </c>
      <c r="AD133" t="n">
        <v>1</v>
      </c>
      <c r="AE133" t="n">
        <v>1</v>
      </c>
      <c r="AF133" t="n">
        <v>0</v>
      </c>
      <c r="AG133" t="n">
        <v>0</v>
      </c>
      <c r="AH133" t="n">
        <v>0</v>
      </c>
      <c r="AI133" t="n">
        <v>0</v>
      </c>
      <c r="AJ133" t="n">
        <v>0</v>
      </c>
      <c r="AK133" t="n">
        <v>0</v>
      </c>
      <c r="AL133" t="n">
        <v>0</v>
      </c>
      <c r="AM133" t="n">
        <v>0</v>
      </c>
      <c r="AN133" t="n">
        <v>0</v>
      </c>
      <c r="AO133" t="n">
        <v>0</v>
      </c>
      <c r="AP133" t="n">
        <v>0</v>
      </c>
      <c r="AQ133" t="n">
        <v>0</v>
      </c>
      <c r="AR133" t="inlineStr">
        <is>
          <t>No</t>
        </is>
      </c>
      <c r="AS133" t="inlineStr">
        <is>
          <t>Yes</t>
        </is>
      </c>
      <c r="AT133">
        <f>HYPERLINK("http://catalog.hathitrust.org/Record/001558041","HathiTrust Record")</f>
        <v/>
      </c>
      <c r="AU133">
        <f>HYPERLINK("https://creighton-primo.hosted.exlibrisgroup.com/primo-explore/search?tab=default_tab&amp;search_scope=EVERYTHING&amp;vid=01CRU&amp;lang=en_US&amp;offset=0&amp;query=any,contains,991001169839702656","Catalog Record")</f>
        <v/>
      </c>
      <c r="AV133">
        <f>HYPERLINK("http://www.worldcat.org/oclc/614353","WorldCat Record")</f>
        <v/>
      </c>
      <c r="AW133" t="inlineStr">
        <is>
          <t>1659712:eng</t>
        </is>
      </c>
      <c r="AX133" t="inlineStr">
        <is>
          <t>614353</t>
        </is>
      </c>
      <c r="AY133" t="inlineStr">
        <is>
          <t>991001169839702656</t>
        </is>
      </c>
      <c r="AZ133" t="inlineStr">
        <is>
          <t>991001169839702656</t>
        </is>
      </c>
      <c r="BA133" t="inlineStr">
        <is>
          <t>2270262670002656</t>
        </is>
      </c>
      <c r="BB133" t="inlineStr">
        <is>
          <t>BOOK</t>
        </is>
      </c>
      <c r="BE133" t="inlineStr">
        <is>
          <t>30001000306706</t>
        </is>
      </c>
      <c r="BF133" t="inlineStr">
        <is>
          <t>893273837</t>
        </is>
      </c>
    </row>
    <row r="134">
      <c r="A134" t="inlineStr">
        <is>
          <t>No</t>
        </is>
      </c>
      <c r="B134" t="inlineStr">
        <is>
          <t>CUHSL</t>
        </is>
      </c>
      <c r="C134" t="inlineStr">
        <is>
          <t>SHELVES</t>
        </is>
      </c>
      <c r="D134" t="inlineStr">
        <is>
          <t>W 18 S972i 1968</t>
        </is>
      </c>
      <c r="E134" t="inlineStr">
        <is>
          <t>0                      W  0018000S  972i        1968</t>
        </is>
      </c>
      <c r="F134" t="inlineStr">
        <is>
          <t>Inservice education / Russell C. Swansburg.</t>
        </is>
      </c>
      <c r="H134" t="inlineStr">
        <is>
          <t>No</t>
        </is>
      </c>
      <c r="I134" t="inlineStr">
        <is>
          <t>1</t>
        </is>
      </c>
      <c r="J134" t="inlineStr">
        <is>
          <t>No</t>
        </is>
      </c>
      <c r="K134" t="inlineStr">
        <is>
          <t>No</t>
        </is>
      </c>
      <c r="L134" t="inlineStr">
        <is>
          <t>0</t>
        </is>
      </c>
      <c r="M134" t="inlineStr">
        <is>
          <t>Swansburg, Russell C.</t>
        </is>
      </c>
      <c r="N134" t="inlineStr">
        <is>
          <t>New York : Putnam, [1968]</t>
        </is>
      </c>
      <c r="O134" t="inlineStr">
        <is>
          <t>1968</t>
        </is>
      </c>
      <c r="Q134" t="inlineStr">
        <is>
          <t>eng</t>
        </is>
      </c>
      <c r="R134" t="inlineStr">
        <is>
          <t>nyu</t>
        </is>
      </c>
      <c r="T134" t="inlineStr">
        <is>
          <t xml:space="preserve">W  </t>
        </is>
      </c>
      <c r="U134" t="n">
        <v>3</v>
      </c>
      <c r="V134" t="n">
        <v>3</v>
      </c>
      <c r="W134" t="inlineStr">
        <is>
          <t>1996-03-21</t>
        </is>
      </c>
      <c r="X134" t="inlineStr">
        <is>
          <t>1996-03-21</t>
        </is>
      </c>
      <c r="Y134" t="inlineStr">
        <is>
          <t>1988-01-13</t>
        </is>
      </c>
      <c r="Z134" t="inlineStr">
        <is>
          <t>1988-01-13</t>
        </is>
      </c>
      <c r="AA134" t="n">
        <v>98</v>
      </c>
      <c r="AB134" t="n">
        <v>78</v>
      </c>
      <c r="AC134" t="n">
        <v>78</v>
      </c>
      <c r="AD134" t="n">
        <v>2</v>
      </c>
      <c r="AE134" t="n">
        <v>2</v>
      </c>
      <c r="AF134" t="n">
        <v>3</v>
      </c>
      <c r="AG134" t="n">
        <v>3</v>
      </c>
      <c r="AH134" t="n">
        <v>0</v>
      </c>
      <c r="AI134" t="n">
        <v>0</v>
      </c>
      <c r="AJ134" t="n">
        <v>0</v>
      </c>
      <c r="AK134" t="n">
        <v>0</v>
      </c>
      <c r="AL134" t="n">
        <v>3</v>
      </c>
      <c r="AM134" t="n">
        <v>3</v>
      </c>
      <c r="AN134" t="n">
        <v>0</v>
      </c>
      <c r="AO134" t="n">
        <v>0</v>
      </c>
      <c r="AP134" t="n">
        <v>0</v>
      </c>
      <c r="AQ134" t="n">
        <v>0</v>
      </c>
      <c r="AR134" t="inlineStr">
        <is>
          <t>No</t>
        </is>
      </c>
      <c r="AS134" t="inlineStr">
        <is>
          <t>No</t>
        </is>
      </c>
      <c r="AU134">
        <f>HYPERLINK("https://creighton-primo.hosted.exlibrisgroup.com/primo-explore/search?tab=default_tab&amp;search_scope=EVERYTHING&amp;vid=01CRU&amp;lang=en_US&amp;offset=0&amp;query=any,contains,991001043139702656","Catalog Record")</f>
        <v/>
      </c>
      <c r="AV134">
        <f>HYPERLINK("http://www.worldcat.org/oclc/452103","WorldCat Record")</f>
        <v/>
      </c>
      <c r="AW134" t="inlineStr">
        <is>
          <t>1440074:eng</t>
        </is>
      </c>
      <c r="AX134" t="inlineStr">
        <is>
          <t>452103</t>
        </is>
      </c>
      <c r="AY134" t="inlineStr">
        <is>
          <t>991001043139702656</t>
        </is>
      </c>
      <c r="AZ134" t="inlineStr">
        <is>
          <t>991001043139702656</t>
        </is>
      </c>
      <c r="BA134" t="inlineStr">
        <is>
          <t>2258362750002656</t>
        </is>
      </c>
      <c r="BB134" t="inlineStr">
        <is>
          <t>BOOK</t>
        </is>
      </c>
      <c r="BE134" t="inlineStr">
        <is>
          <t>30001000242943</t>
        </is>
      </c>
      <c r="BF134" t="inlineStr">
        <is>
          <t>893268013</t>
        </is>
      </c>
    </row>
    <row r="135">
      <c r="A135" t="inlineStr">
        <is>
          <t>No</t>
        </is>
      </c>
      <c r="B135" t="inlineStr">
        <is>
          <t>CUHSL</t>
        </is>
      </c>
      <c r="C135" t="inlineStr">
        <is>
          <t>SHELVES</t>
        </is>
      </c>
      <c r="D135" t="inlineStr">
        <is>
          <t>W18 T137 2000</t>
        </is>
      </c>
      <c r="E135" t="inlineStr">
        <is>
          <t>0                      W  0018000T  137         2000</t>
        </is>
      </c>
      <c r="F135" t="inlineStr">
        <is>
          <t>Taking my place in medicine : a guide for minority medical students / Carmen Webb, editor.</t>
        </is>
      </c>
      <c r="H135" t="inlineStr">
        <is>
          <t>No</t>
        </is>
      </c>
      <c r="I135" t="inlineStr">
        <is>
          <t>1</t>
        </is>
      </c>
      <c r="J135" t="inlineStr">
        <is>
          <t>No</t>
        </is>
      </c>
      <c r="K135" t="inlineStr">
        <is>
          <t>No</t>
        </is>
      </c>
      <c r="L135" t="inlineStr">
        <is>
          <t>1</t>
        </is>
      </c>
      <c r="N135" t="inlineStr">
        <is>
          <t>Thousand Oaks, Calif. : Sage, c2000.</t>
        </is>
      </c>
      <c r="O135" t="inlineStr">
        <is>
          <t>2000</t>
        </is>
      </c>
      <c r="Q135" t="inlineStr">
        <is>
          <t>eng</t>
        </is>
      </c>
      <c r="R135" t="inlineStr">
        <is>
          <t>cau</t>
        </is>
      </c>
      <c r="S135" t="inlineStr">
        <is>
          <t>Surviving medical school series</t>
        </is>
      </c>
      <c r="T135" t="inlineStr">
        <is>
          <t xml:space="preserve">W  </t>
        </is>
      </c>
      <c r="U135" t="n">
        <v>1</v>
      </c>
      <c r="V135" t="n">
        <v>1</v>
      </c>
      <c r="W135" t="inlineStr">
        <is>
          <t>2008-09-10</t>
        </is>
      </c>
      <c r="X135" t="inlineStr">
        <is>
          <t>2008-09-10</t>
        </is>
      </c>
      <c r="Y135" t="inlineStr">
        <is>
          <t>2004-06-04</t>
        </is>
      </c>
      <c r="Z135" t="inlineStr">
        <is>
          <t>2004-06-04</t>
        </is>
      </c>
      <c r="AA135" t="n">
        <v>128</v>
      </c>
      <c r="AB135" t="n">
        <v>113</v>
      </c>
      <c r="AC135" t="n">
        <v>882</v>
      </c>
      <c r="AD135" t="n">
        <v>1</v>
      </c>
      <c r="AE135" t="n">
        <v>14</v>
      </c>
      <c r="AF135" t="n">
        <v>6</v>
      </c>
      <c r="AG135" t="n">
        <v>35</v>
      </c>
      <c r="AH135" t="n">
        <v>1</v>
      </c>
      <c r="AI135" t="n">
        <v>9</v>
      </c>
      <c r="AJ135" t="n">
        <v>3</v>
      </c>
      <c r="AK135" t="n">
        <v>8</v>
      </c>
      <c r="AL135" t="n">
        <v>3</v>
      </c>
      <c r="AM135" t="n">
        <v>11</v>
      </c>
      <c r="AN135" t="n">
        <v>0</v>
      </c>
      <c r="AO135" t="n">
        <v>12</v>
      </c>
      <c r="AP135" t="n">
        <v>0</v>
      </c>
      <c r="AQ135" t="n">
        <v>1</v>
      </c>
      <c r="AR135" t="inlineStr">
        <is>
          <t>No</t>
        </is>
      </c>
      <c r="AS135" t="inlineStr">
        <is>
          <t>Yes</t>
        </is>
      </c>
      <c r="AT135">
        <f>HYPERLINK("http://catalog.hathitrust.org/Record/004136014","HathiTrust Record")</f>
        <v/>
      </c>
      <c r="AU135">
        <f>HYPERLINK("https://creighton-primo.hosted.exlibrisgroup.com/primo-explore/search?tab=default_tab&amp;search_scope=EVERYTHING&amp;vid=01CRU&amp;lang=en_US&amp;offset=0&amp;query=any,contains,991000372099702656","Catalog Record")</f>
        <v/>
      </c>
      <c r="AV135">
        <f>HYPERLINK("http://www.worldcat.org/oclc/43790310","WorldCat Record")</f>
        <v/>
      </c>
      <c r="AW135" t="inlineStr">
        <is>
          <t>836976313:eng</t>
        </is>
      </c>
      <c r="AX135" t="inlineStr">
        <is>
          <t>43790310</t>
        </is>
      </c>
      <c r="AY135" t="inlineStr">
        <is>
          <t>991000372099702656</t>
        </is>
      </c>
      <c r="AZ135" t="inlineStr">
        <is>
          <t>991000372099702656</t>
        </is>
      </c>
      <c r="BA135" t="inlineStr">
        <is>
          <t>2263716450002656</t>
        </is>
      </c>
      <c r="BB135" t="inlineStr">
        <is>
          <t>BOOK</t>
        </is>
      </c>
      <c r="BD135" t="inlineStr">
        <is>
          <t>9780761918097</t>
        </is>
      </c>
      <c r="BE135" t="inlineStr">
        <is>
          <t>30001004508976</t>
        </is>
      </c>
      <c r="BF135" t="inlineStr">
        <is>
          <t>893817047</t>
        </is>
      </c>
    </row>
    <row r="136">
      <c r="A136" t="inlineStr">
        <is>
          <t>No</t>
        </is>
      </c>
      <c r="B136" t="inlineStr">
        <is>
          <t>CUHSL</t>
        </is>
      </c>
      <c r="C136" t="inlineStr">
        <is>
          <t>SHELVES</t>
        </is>
      </c>
      <c r="D136" t="inlineStr">
        <is>
          <t>W18 T25093 2000</t>
        </is>
      </c>
      <c r="E136" t="inlineStr">
        <is>
          <t>0                      W  0018000T  25093       2000</t>
        </is>
      </c>
      <c r="F136" t="inlineStr">
        <is>
          <t>Teaching and learning in medical and surgical education : lessons learned for the 21st century / edited by Linda H. Distlehorst, Gary L. Dunnington, J. Roland Folse.</t>
        </is>
      </c>
      <c r="H136" t="inlineStr">
        <is>
          <t>No</t>
        </is>
      </c>
      <c r="I136" t="inlineStr">
        <is>
          <t>1</t>
        </is>
      </c>
      <c r="J136" t="inlineStr">
        <is>
          <t>No</t>
        </is>
      </c>
      <c r="K136" t="inlineStr">
        <is>
          <t>No</t>
        </is>
      </c>
      <c r="L136" t="inlineStr">
        <is>
          <t>0</t>
        </is>
      </c>
      <c r="N136" t="inlineStr">
        <is>
          <t>Mahwah, N.J. : Erlbaum, 2000.</t>
        </is>
      </c>
      <c r="O136" t="inlineStr">
        <is>
          <t>2000</t>
        </is>
      </c>
      <c r="Q136" t="inlineStr">
        <is>
          <t>eng</t>
        </is>
      </c>
      <c r="R136" t="inlineStr">
        <is>
          <t>nju</t>
        </is>
      </c>
      <c r="T136" t="inlineStr">
        <is>
          <t xml:space="preserve">W  </t>
        </is>
      </c>
      <c r="U136" t="n">
        <v>1</v>
      </c>
      <c r="V136" t="n">
        <v>1</v>
      </c>
      <c r="W136" t="inlineStr">
        <is>
          <t>2002-10-22</t>
        </is>
      </c>
      <c r="X136" t="inlineStr">
        <is>
          <t>2002-10-22</t>
        </is>
      </c>
      <c r="Y136" t="inlineStr">
        <is>
          <t>2002-10-17</t>
        </is>
      </c>
      <c r="Z136" t="inlineStr">
        <is>
          <t>2002-10-17</t>
        </is>
      </c>
      <c r="AA136" t="n">
        <v>76</v>
      </c>
      <c r="AB136" t="n">
        <v>50</v>
      </c>
      <c r="AC136" t="n">
        <v>744</v>
      </c>
      <c r="AD136" t="n">
        <v>1</v>
      </c>
      <c r="AE136" t="n">
        <v>2</v>
      </c>
      <c r="AF136" t="n">
        <v>3</v>
      </c>
      <c r="AG136" t="n">
        <v>14</v>
      </c>
      <c r="AH136" t="n">
        <v>2</v>
      </c>
      <c r="AI136" t="n">
        <v>10</v>
      </c>
      <c r="AJ136" t="n">
        <v>1</v>
      </c>
      <c r="AK136" t="n">
        <v>3</v>
      </c>
      <c r="AL136" t="n">
        <v>0</v>
      </c>
      <c r="AM136" t="n">
        <v>3</v>
      </c>
      <c r="AN136" t="n">
        <v>0</v>
      </c>
      <c r="AO136" t="n">
        <v>0</v>
      </c>
      <c r="AP136" t="n">
        <v>0</v>
      </c>
      <c r="AQ136" t="n">
        <v>0</v>
      </c>
      <c r="AR136" t="inlineStr">
        <is>
          <t>No</t>
        </is>
      </c>
      <c r="AS136" t="inlineStr">
        <is>
          <t>No</t>
        </is>
      </c>
      <c r="AU136">
        <f>HYPERLINK("https://creighton-primo.hosted.exlibrisgroup.com/primo-explore/search?tab=default_tab&amp;search_scope=EVERYTHING&amp;vid=01CRU&amp;lang=en_US&amp;offset=0&amp;query=any,contains,991000330929702656","Catalog Record")</f>
        <v/>
      </c>
      <c r="AV136">
        <f>HYPERLINK("http://www.worldcat.org/oclc/42682713","WorldCat Record")</f>
        <v/>
      </c>
      <c r="AW136" t="inlineStr">
        <is>
          <t>799451738:eng</t>
        </is>
      </c>
      <c r="AX136" t="inlineStr">
        <is>
          <t>42682713</t>
        </is>
      </c>
      <c r="AY136" t="inlineStr">
        <is>
          <t>991000330929702656</t>
        </is>
      </c>
      <c r="AZ136" t="inlineStr">
        <is>
          <t>991000330929702656</t>
        </is>
      </c>
      <c r="BA136" t="inlineStr">
        <is>
          <t>2260807810002656</t>
        </is>
      </c>
      <c r="BB136" t="inlineStr">
        <is>
          <t>BOOK</t>
        </is>
      </c>
      <c r="BD136" t="inlineStr">
        <is>
          <t>9780805835427</t>
        </is>
      </c>
      <c r="BE136" t="inlineStr">
        <is>
          <t>30001004500569</t>
        </is>
      </c>
      <c r="BF136" t="inlineStr">
        <is>
          <t>893359443</t>
        </is>
      </c>
    </row>
    <row r="137">
      <c r="A137" t="inlineStr">
        <is>
          <t>No</t>
        </is>
      </c>
      <c r="B137" t="inlineStr">
        <is>
          <t>CUHSL</t>
        </is>
      </c>
      <c r="C137" t="inlineStr">
        <is>
          <t>SHELVES</t>
        </is>
      </c>
      <c r="D137" t="inlineStr">
        <is>
          <t>W 18 T2517 2003</t>
        </is>
      </c>
      <c r="E137" t="inlineStr">
        <is>
          <t>0                      W  0018000T  2517        2003</t>
        </is>
      </c>
      <c r="F137" t="inlineStr">
        <is>
          <t>Teaching medical students in primary and secondary care : a resource book / Sarah Hartley ... [et al.].</t>
        </is>
      </c>
      <c r="H137" t="inlineStr">
        <is>
          <t>No</t>
        </is>
      </c>
      <c r="I137" t="inlineStr">
        <is>
          <t>1</t>
        </is>
      </c>
      <c r="J137" t="inlineStr">
        <is>
          <t>No</t>
        </is>
      </c>
      <c r="K137" t="inlineStr">
        <is>
          <t>No</t>
        </is>
      </c>
      <c r="L137" t="inlineStr">
        <is>
          <t>0</t>
        </is>
      </c>
      <c r="N137" t="inlineStr">
        <is>
          <t>Oxford ; New York : Oxford University Press, 2003.</t>
        </is>
      </c>
      <c r="O137" t="inlineStr">
        <is>
          <t>2003</t>
        </is>
      </c>
      <c r="Q137" t="inlineStr">
        <is>
          <t>eng</t>
        </is>
      </c>
      <c r="R137" t="inlineStr">
        <is>
          <t>enk</t>
        </is>
      </c>
      <c r="T137" t="inlineStr">
        <is>
          <t xml:space="preserve">W  </t>
        </is>
      </c>
      <c r="U137" t="n">
        <v>0</v>
      </c>
      <c r="V137" t="n">
        <v>0</v>
      </c>
      <c r="W137" t="inlineStr">
        <is>
          <t>2004-09-02</t>
        </is>
      </c>
      <c r="X137" t="inlineStr">
        <is>
          <t>2004-09-02</t>
        </is>
      </c>
      <c r="Y137" t="inlineStr">
        <is>
          <t>2004-09-02</t>
        </is>
      </c>
      <c r="Z137" t="inlineStr">
        <is>
          <t>2004-09-02</t>
        </is>
      </c>
      <c r="AA137" t="n">
        <v>101</v>
      </c>
      <c r="AB137" t="n">
        <v>55</v>
      </c>
      <c r="AC137" t="n">
        <v>165</v>
      </c>
      <c r="AD137" t="n">
        <v>1</v>
      </c>
      <c r="AE137" t="n">
        <v>3</v>
      </c>
      <c r="AF137" t="n">
        <v>0</v>
      </c>
      <c r="AG137" t="n">
        <v>3</v>
      </c>
      <c r="AH137" t="n">
        <v>0</v>
      </c>
      <c r="AI137" t="n">
        <v>1</v>
      </c>
      <c r="AJ137" t="n">
        <v>0</v>
      </c>
      <c r="AK137" t="n">
        <v>0</v>
      </c>
      <c r="AL137" t="n">
        <v>0</v>
      </c>
      <c r="AM137" t="n">
        <v>0</v>
      </c>
      <c r="AN137" t="n">
        <v>0</v>
      </c>
      <c r="AO137" t="n">
        <v>2</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HYPERLINK("https://creighton-primo.hosted.exlibrisgroup.com/primo-explore/search?tab=default_tab&amp;search_scope=EVERYTHING&amp;vid=01CRU&amp;lang=en_US&amp;offset=0&amp;query=any,contains,991000382209702656","Catalog Record")</f>
        <v/>
      </c>
      <c r="AV137">
        <f>HYPERLINK("http://www.worldcat.org/oclc/54366305","WorldCat Record")</f>
        <v/>
      </c>
      <c r="AW137" t="inlineStr">
        <is>
          <t>801559899:eng</t>
        </is>
      </c>
      <c r="AX137" t="inlineStr">
        <is>
          <t>54366305</t>
        </is>
      </c>
      <c r="AY137" t="inlineStr">
        <is>
          <t>991000382209702656</t>
        </is>
      </c>
      <c r="AZ137" t="inlineStr">
        <is>
          <t>991000382209702656</t>
        </is>
      </c>
      <c r="BA137" t="inlineStr">
        <is>
          <t>2257467370002656</t>
        </is>
      </c>
      <c r="BB137" t="inlineStr">
        <is>
          <t>BOOK</t>
        </is>
      </c>
      <c r="BD137" t="inlineStr">
        <is>
          <t>9780198510727</t>
        </is>
      </c>
      <c r="BE137" t="inlineStr">
        <is>
          <t>30001004841039</t>
        </is>
      </c>
      <c r="BF137" t="inlineStr">
        <is>
          <t>893827437</t>
        </is>
      </c>
    </row>
    <row r="138">
      <c r="A138" t="inlineStr">
        <is>
          <t>No</t>
        </is>
      </c>
      <c r="B138" t="inlineStr">
        <is>
          <t>CUHSL</t>
        </is>
      </c>
      <c r="C138" t="inlineStr">
        <is>
          <t>SHELVES</t>
        </is>
      </c>
      <c r="D138" t="inlineStr">
        <is>
          <t>W 18 T487s 1993</t>
        </is>
      </c>
      <c r="E138" t="inlineStr">
        <is>
          <t>0                      W  0018000T  487s        1993</t>
        </is>
      </c>
      <c r="F138" t="inlineStr">
        <is>
          <t>The successful medical student : achieving your full potential/ John R. Thornborough, Hillary J. Schmidt.</t>
        </is>
      </c>
      <c r="H138" t="inlineStr">
        <is>
          <t>No</t>
        </is>
      </c>
      <c r="I138" t="inlineStr">
        <is>
          <t>1</t>
        </is>
      </c>
      <c r="J138" t="inlineStr">
        <is>
          <t>Yes</t>
        </is>
      </c>
      <c r="K138" t="inlineStr">
        <is>
          <t>No</t>
        </is>
      </c>
      <c r="L138" t="inlineStr">
        <is>
          <t>0</t>
        </is>
      </c>
      <c r="M138" t="inlineStr">
        <is>
          <t>Thornborough, John R.</t>
        </is>
      </c>
      <c r="N138" t="inlineStr">
        <is>
          <t>Granville, Oh : ILOC c1993.</t>
        </is>
      </c>
      <c r="O138" t="inlineStr">
        <is>
          <t>1993</t>
        </is>
      </c>
      <c r="Q138" t="inlineStr">
        <is>
          <t>eng</t>
        </is>
      </c>
      <c r="R138" t="inlineStr">
        <is>
          <t>ohu</t>
        </is>
      </c>
      <c r="T138" t="inlineStr">
        <is>
          <t xml:space="preserve">W  </t>
        </is>
      </c>
      <c r="U138" t="n">
        <v>7</v>
      </c>
      <c r="V138" t="n">
        <v>8</v>
      </c>
      <c r="W138" t="inlineStr">
        <is>
          <t>2003-03-04</t>
        </is>
      </c>
      <c r="X138" t="inlineStr">
        <is>
          <t>2005-10-10</t>
        </is>
      </c>
      <c r="Y138" t="inlineStr">
        <is>
          <t>1996-02-14</t>
        </is>
      </c>
      <c r="Z138" t="inlineStr">
        <is>
          <t>2002-05-30</t>
        </is>
      </c>
      <c r="AA138" t="n">
        <v>56</v>
      </c>
      <c r="AB138" t="n">
        <v>52</v>
      </c>
      <c r="AC138" t="n">
        <v>59</v>
      </c>
      <c r="AD138" t="n">
        <v>2</v>
      </c>
      <c r="AE138" t="n">
        <v>2</v>
      </c>
      <c r="AF138" t="n">
        <v>3</v>
      </c>
      <c r="AG138" t="n">
        <v>3</v>
      </c>
      <c r="AH138" t="n">
        <v>1</v>
      </c>
      <c r="AI138" t="n">
        <v>1</v>
      </c>
      <c r="AJ138" t="n">
        <v>0</v>
      </c>
      <c r="AK138" t="n">
        <v>0</v>
      </c>
      <c r="AL138" t="n">
        <v>1</v>
      </c>
      <c r="AM138" t="n">
        <v>1</v>
      </c>
      <c r="AN138" t="n">
        <v>1</v>
      </c>
      <c r="AO138" t="n">
        <v>1</v>
      </c>
      <c r="AP138" t="n">
        <v>0</v>
      </c>
      <c r="AQ138" t="n">
        <v>0</v>
      </c>
      <c r="AR138" t="inlineStr">
        <is>
          <t>No</t>
        </is>
      </c>
      <c r="AS138" t="inlineStr">
        <is>
          <t>Yes</t>
        </is>
      </c>
      <c r="AT138">
        <f>HYPERLINK("http://catalog.hathitrust.org/Record/005417091","HathiTrust Record")</f>
        <v/>
      </c>
      <c r="AU138">
        <f>HYPERLINK("https://creighton-primo.hosted.exlibrisgroup.com/primo-explore/search?tab=default_tab&amp;search_scope=EVERYTHING&amp;vid=01CRU&amp;lang=en_US&amp;offset=0&amp;query=any,contains,991001504699702656","Catalog Record")</f>
        <v/>
      </c>
      <c r="AV138">
        <f>HYPERLINK("http://www.worldcat.org/oclc/29892365","WorldCat Record")</f>
        <v/>
      </c>
      <c r="AW138" t="inlineStr">
        <is>
          <t>32424040:eng</t>
        </is>
      </c>
      <c r="AX138" t="inlineStr">
        <is>
          <t>29892365</t>
        </is>
      </c>
      <c r="AY138" t="inlineStr">
        <is>
          <t>991001504699702656</t>
        </is>
      </c>
      <c r="AZ138" t="inlineStr">
        <is>
          <t>991001504699702656</t>
        </is>
      </c>
      <c r="BA138" t="inlineStr">
        <is>
          <t>2271019030002656</t>
        </is>
      </c>
      <c r="BB138" t="inlineStr">
        <is>
          <t>BOOK</t>
        </is>
      </c>
      <c r="BE138" t="inlineStr">
        <is>
          <t>30001003263813</t>
        </is>
      </c>
      <c r="BF138" t="inlineStr">
        <is>
          <t>893643648</t>
        </is>
      </c>
    </row>
    <row r="139">
      <c r="A139" t="inlineStr">
        <is>
          <t>No</t>
        </is>
      </c>
      <c r="B139" t="inlineStr">
        <is>
          <t>CUHSL</t>
        </is>
      </c>
      <c r="C139" t="inlineStr">
        <is>
          <t>SHELVES</t>
        </is>
      </c>
      <c r="D139" t="inlineStr">
        <is>
          <t>W 18 T487s 1993</t>
        </is>
      </c>
      <c r="E139" t="inlineStr">
        <is>
          <t>0                      W  0018000T  487s        1993</t>
        </is>
      </c>
      <c r="F139" t="inlineStr">
        <is>
          <t>The successful medical student : achieving your full potential/ John R. Thornborough, Hillary J. Schmidt.</t>
        </is>
      </c>
      <c r="H139" t="inlineStr">
        <is>
          <t>No</t>
        </is>
      </c>
      <c r="I139" t="inlineStr">
        <is>
          <t>2</t>
        </is>
      </c>
      <c r="J139" t="inlineStr">
        <is>
          <t>Yes</t>
        </is>
      </c>
      <c r="K139" t="inlineStr">
        <is>
          <t>No</t>
        </is>
      </c>
      <c r="L139" t="inlineStr">
        <is>
          <t>0</t>
        </is>
      </c>
      <c r="M139" t="inlineStr">
        <is>
          <t>Thornborough, John R.</t>
        </is>
      </c>
      <c r="N139" t="inlineStr">
        <is>
          <t>Granville, Oh : ILOC c1993.</t>
        </is>
      </c>
      <c r="O139" t="inlineStr">
        <is>
          <t>1993</t>
        </is>
      </c>
      <c r="Q139" t="inlineStr">
        <is>
          <t>eng</t>
        </is>
      </c>
      <c r="R139" t="inlineStr">
        <is>
          <t>ohu</t>
        </is>
      </c>
      <c r="T139" t="inlineStr">
        <is>
          <t xml:space="preserve">W  </t>
        </is>
      </c>
      <c r="U139" t="n">
        <v>1</v>
      </c>
      <c r="V139" t="n">
        <v>8</v>
      </c>
      <c r="W139" t="inlineStr">
        <is>
          <t>2005-10-10</t>
        </is>
      </c>
      <c r="X139" t="inlineStr">
        <is>
          <t>2005-10-10</t>
        </is>
      </c>
      <c r="Y139" t="inlineStr">
        <is>
          <t>2002-05-30</t>
        </is>
      </c>
      <c r="Z139" t="inlineStr">
        <is>
          <t>2002-05-30</t>
        </is>
      </c>
      <c r="AA139" t="n">
        <v>56</v>
      </c>
      <c r="AB139" t="n">
        <v>52</v>
      </c>
      <c r="AC139" t="n">
        <v>59</v>
      </c>
      <c r="AD139" t="n">
        <v>2</v>
      </c>
      <c r="AE139" t="n">
        <v>2</v>
      </c>
      <c r="AF139" t="n">
        <v>3</v>
      </c>
      <c r="AG139" t="n">
        <v>3</v>
      </c>
      <c r="AH139" t="n">
        <v>1</v>
      </c>
      <c r="AI139" t="n">
        <v>1</v>
      </c>
      <c r="AJ139" t="n">
        <v>0</v>
      </c>
      <c r="AK139" t="n">
        <v>0</v>
      </c>
      <c r="AL139" t="n">
        <v>1</v>
      </c>
      <c r="AM139" t="n">
        <v>1</v>
      </c>
      <c r="AN139" t="n">
        <v>1</v>
      </c>
      <c r="AO139" t="n">
        <v>1</v>
      </c>
      <c r="AP139" t="n">
        <v>0</v>
      </c>
      <c r="AQ139" t="n">
        <v>0</v>
      </c>
      <c r="AR139" t="inlineStr">
        <is>
          <t>No</t>
        </is>
      </c>
      <c r="AS139" t="inlineStr">
        <is>
          <t>Yes</t>
        </is>
      </c>
      <c r="AT139">
        <f>HYPERLINK("http://catalog.hathitrust.org/Record/005417091","HathiTrust Record")</f>
        <v/>
      </c>
      <c r="AU139">
        <f>HYPERLINK("https://creighton-primo.hosted.exlibrisgroup.com/primo-explore/search?tab=default_tab&amp;search_scope=EVERYTHING&amp;vid=01CRU&amp;lang=en_US&amp;offset=0&amp;query=any,contains,991001504699702656","Catalog Record")</f>
        <v/>
      </c>
      <c r="AV139">
        <f>HYPERLINK("http://www.worldcat.org/oclc/29892365","WorldCat Record")</f>
        <v/>
      </c>
      <c r="AW139" t="inlineStr">
        <is>
          <t>32424040:eng</t>
        </is>
      </c>
      <c r="AX139" t="inlineStr">
        <is>
          <t>29892365</t>
        </is>
      </c>
      <c r="AY139" t="inlineStr">
        <is>
          <t>991001504699702656</t>
        </is>
      </c>
      <c r="AZ139" t="inlineStr">
        <is>
          <t>991001504699702656</t>
        </is>
      </c>
      <c r="BA139" t="inlineStr">
        <is>
          <t>2271019030002656</t>
        </is>
      </c>
      <c r="BB139" t="inlineStr">
        <is>
          <t>BOOK</t>
        </is>
      </c>
      <c r="BE139" t="inlineStr">
        <is>
          <t>30001003692086</t>
        </is>
      </c>
      <c r="BF139" t="inlineStr">
        <is>
          <t>893649279</t>
        </is>
      </c>
    </row>
    <row r="140">
      <c r="A140" t="inlineStr">
        <is>
          <t>No</t>
        </is>
      </c>
      <c r="B140" t="inlineStr">
        <is>
          <t>CUHSL</t>
        </is>
      </c>
      <c r="C140" t="inlineStr">
        <is>
          <t>SHELVES</t>
        </is>
      </c>
      <c r="D140" t="inlineStr">
        <is>
          <t>W 18 T497h 1991</t>
        </is>
      </c>
      <c r="E140" t="inlineStr">
        <is>
          <t>0                      W  0018000T  497h        1991</t>
        </is>
      </c>
      <c r="F140" t="inlineStr">
        <is>
          <t>How to prepare for the National Medical Board examination comprehensive part I / John R. Thornborough, Hilary J. Schmidt.</t>
        </is>
      </c>
      <c r="H140" t="inlineStr">
        <is>
          <t>No</t>
        </is>
      </c>
      <c r="I140" t="inlineStr">
        <is>
          <t>1</t>
        </is>
      </c>
      <c r="J140" t="inlineStr">
        <is>
          <t>No</t>
        </is>
      </c>
      <c r="K140" t="inlineStr">
        <is>
          <t>No</t>
        </is>
      </c>
      <c r="L140" t="inlineStr">
        <is>
          <t>0</t>
        </is>
      </c>
      <c r="M140" t="inlineStr">
        <is>
          <t>Thornborough, John R.</t>
        </is>
      </c>
      <c r="N140" t="inlineStr">
        <is>
          <t>New York : McGraw-Hill, Inc., Health Professions Division/PreTest Series, c1991.</t>
        </is>
      </c>
      <c r="O140" t="inlineStr">
        <is>
          <t>1991</t>
        </is>
      </c>
      <c r="Q140" t="inlineStr">
        <is>
          <t>eng</t>
        </is>
      </c>
      <c r="R140" t="inlineStr">
        <is>
          <t>nyu</t>
        </is>
      </c>
      <c r="T140" t="inlineStr">
        <is>
          <t xml:space="preserve">W  </t>
        </is>
      </c>
      <c r="U140" t="n">
        <v>7</v>
      </c>
      <c r="V140" t="n">
        <v>7</v>
      </c>
      <c r="W140" t="inlineStr">
        <is>
          <t>2002-02-04</t>
        </is>
      </c>
      <c r="X140" t="inlineStr">
        <is>
          <t>2002-02-04</t>
        </is>
      </c>
      <c r="Y140" t="inlineStr">
        <is>
          <t>1991-04-26</t>
        </is>
      </c>
      <c r="Z140" t="inlineStr">
        <is>
          <t>1991-04-26</t>
        </is>
      </c>
      <c r="AA140" t="n">
        <v>37</v>
      </c>
      <c r="AB140" t="n">
        <v>34</v>
      </c>
      <c r="AC140" t="n">
        <v>34</v>
      </c>
      <c r="AD140" t="n">
        <v>1</v>
      </c>
      <c r="AE140" t="n">
        <v>1</v>
      </c>
      <c r="AF140" t="n">
        <v>0</v>
      </c>
      <c r="AG140" t="n">
        <v>0</v>
      </c>
      <c r="AH140" t="n">
        <v>0</v>
      </c>
      <c r="AI140" t="n">
        <v>0</v>
      </c>
      <c r="AJ140" t="n">
        <v>0</v>
      </c>
      <c r="AK140" t="n">
        <v>0</v>
      </c>
      <c r="AL140" t="n">
        <v>0</v>
      </c>
      <c r="AM140" t="n">
        <v>0</v>
      </c>
      <c r="AN140" t="n">
        <v>0</v>
      </c>
      <c r="AO140" t="n">
        <v>0</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HYPERLINK("https://creighton-primo.hosted.exlibrisgroup.com/primo-explore/search?tab=default_tab&amp;search_scope=EVERYTHING&amp;vid=01CRU&amp;lang=en_US&amp;offset=0&amp;query=any,contains,991000934349702656","Catalog Record")</f>
        <v/>
      </c>
      <c r="AV140">
        <f>HYPERLINK("http://www.worldcat.org/oclc/23049447","WorldCat Record")</f>
        <v/>
      </c>
      <c r="AW140" t="inlineStr">
        <is>
          <t>24805117:eng</t>
        </is>
      </c>
      <c r="AX140" t="inlineStr">
        <is>
          <t>23049447</t>
        </is>
      </c>
      <c r="AY140" t="inlineStr">
        <is>
          <t>991000934349702656</t>
        </is>
      </c>
      <c r="AZ140" t="inlineStr">
        <is>
          <t>991000934349702656</t>
        </is>
      </c>
      <c r="BA140" t="inlineStr">
        <is>
          <t>2256892820002656</t>
        </is>
      </c>
      <c r="BB140" t="inlineStr">
        <is>
          <t>BOOK</t>
        </is>
      </c>
      <c r="BD140" t="inlineStr">
        <is>
          <t>9780070645202</t>
        </is>
      </c>
      <c r="BE140" t="inlineStr">
        <is>
          <t>30001002190397</t>
        </is>
      </c>
      <c r="BF140" t="inlineStr">
        <is>
          <t>893148724</t>
        </is>
      </c>
    </row>
    <row r="141">
      <c r="A141" t="inlineStr">
        <is>
          <t>No</t>
        </is>
      </c>
      <c r="B141" t="inlineStr">
        <is>
          <t>CUHSL</t>
        </is>
      </c>
      <c r="C141" t="inlineStr">
        <is>
          <t>SHELVES</t>
        </is>
      </c>
      <c r="D141" t="inlineStr">
        <is>
          <t>W 18 U64t</t>
        </is>
      </c>
      <c r="E141" t="inlineStr">
        <is>
          <t>0                      W  0018000U  64t</t>
        </is>
      </c>
      <c r="F141" t="inlineStr">
        <is>
          <t>Teaching improvement project / developed by the Center for Learning Resources, College of Allied Health Professions, University of Kentucky ; project director, Richard D. Kingston.</t>
        </is>
      </c>
      <c r="H141" t="inlineStr">
        <is>
          <t>No</t>
        </is>
      </c>
      <c r="I141" t="inlineStr">
        <is>
          <t>1</t>
        </is>
      </c>
      <c r="J141" t="inlineStr">
        <is>
          <t>No</t>
        </is>
      </c>
      <c r="K141" t="inlineStr">
        <is>
          <t>No</t>
        </is>
      </c>
      <c r="L141" t="inlineStr">
        <is>
          <t>0</t>
        </is>
      </c>
      <c r="M141" t="inlineStr">
        <is>
          <t>University of Kentucky. College of Allied Health Professions. Center for Learning Resources.</t>
        </is>
      </c>
      <c r="N141" t="inlineStr">
        <is>
          <t>[Lexington, Ky. : The Center, 1978?]-</t>
        </is>
      </c>
      <c r="O141" t="inlineStr">
        <is>
          <t>1978</t>
        </is>
      </c>
      <c r="Q141" t="inlineStr">
        <is>
          <t>eng</t>
        </is>
      </c>
      <c r="R141" t="inlineStr">
        <is>
          <t>kyu</t>
        </is>
      </c>
      <c r="T141" t="inlineStr">
        <is>
          <t xml:space="preserve">W  </t>
        </is>
      </c>
      <c r="U141" t="n">
        <v>1</v>
      </c>
      <c r="V141" t="n">
        <v>1</v>
      </c>
      <c r="W141" t="inlineStr">
        <is>
          <t>1991-07-25</t>
        </is>
      </c>
      <c r="X141" t="inlineStr">
        <is>
          <t>1991-07-25</t>
        </is>
      </c>
      <c r="Y141" t="inlineStr">
        <is>
          <t>1991-07-25</t>
        </is>
      </c>
      <c r="Z141" t="inlineStr">
        <is>
          <t>1991-07-25</t>
        </is>
      </c>
      <c r="AA141" t="n">
        <v>7</v>
      </c>
      <c r="AB141" t="n">
        <v>7</v>
      </c>
      <c r="AC141" t="n">
        <v>7</v>
      </c>
      <c r="AD141" t="n">
        <v>1</v>
      </c>
      <c r="AE141" t="n">
        <v>1</v>
      </c>
      <c r="AF141" t="n">
        <v>1</v>
      </c>
      <c r="AG141" t="n">
        <v>1</v>
      </c>
      <c r="AH141" t="n">
        <v>0</v>
      </c>
      <c r="AI141" t="n">
        <v>0</v>
      </c>
      <c r="AJ141" t="n">
        <v>0</v>
      </c>
      <c r="AK141" t="n">
        <v>0</v>
      </c>
      <c r="AL141" t="n">
        <v>1</v>
      </c>
      <c r="AM141" t="n">
        <v>1</v>
      </c>
      <c r="AN141" t="n">
        <v>0</v>
      </c>
      <c r="AO141" t="n">
        <v>0</v>
      </c>
      <c r="AP141" t="n">
        <v>0</v>
      </c>
      <c r="AQ141" t="n">
        <v>0</v>
      </c>
      <c r="AR141" t="inlineStr">
        <is>
          <t>No</t>
        </is>
      </c>
      <c r="AS141" t="inlineStr">
        <is>
          <t>No</t>
        </is>
      </c>
      <c r="AU141">
        <f>HYPERLINK("https://creighton-primo.hosted.exlibrisgroup.com/primo-explore/search?tab=default_tab&amp;search_scope=EVERYTHING&amp;vid=01CRU&amp;lang=en_US&amp;offset=0&amp;query=any,contains,991000945029702656","Catalog Record")</f>
        <v/>
      </c>
      <c r="AV141">
        <f>HYPERLINK("http://www.worldcat.org/oclc/6857332","WorldCat Record")</f>
        <v/>
      </c>
      <c r="AW141" t="inlineStr">
        <is>
          <t>2819976026:eng</t>
        </is>
      </c>
      <c r="AX141" t="inlineStr">
        <is>
          <t>6857332</t>
        </is>
      </c>
      <c r="AY141" t="inlineStr">
        <is>
          <t>991000945029702656</t>
        </is>
      </c>
      <c r="AZ141" t="inlineStr">
        <is>
          <t>991000945029702656</t>
        </is>
      </c>
      <c r="BA141" t="inlineStr">
        <is>
          <t>2259549260002656</t>
        </is>
      </c>
      <c r="BB141" t="inlineStr">
        <is>
          <t>BOOK</t>
        </is>
      </c>
      <c r="BE141" t="inlineStr">
        <is>
          <t>30001002193490</t>
        </is>
      </c>
      <c r="BF141" t="inlineStr">
        <is>
          <t>893551958</t>
        </is>
      </c>
    </row>
    <row r="142">
      <c r="A142" t="inlineStr">
        <is>
          <t>No</t>
        </is>
      </c>
      <c r="B142" t="inlineStr">
        <is>
          <t>CUHSL</t>
        </is>
      </c>
      <c r="C142" t="inlineStr">
        <is>
          <t>SHELVES</t>
        </is>
      </c>
      <c r="D142" t="inlineStr">
        <is>
          <t>W 18 V819c 1985</t>
        </is>
      </c>
      <c r="E142" t="inlineStr">
        <is>
          <t>0                      W  0018000V  819c        1985</t>
        </is>
      </c>
      <c r="F142" t="inlineStr">
        <is>
          <t>Coping in medical school / Bernard Virshup.</t>
        </is>
      </c>
      <c r="H142" t="inlineStr">
        <is>
          <t>No</t>
        </is>
      </c>
      <c r="I142" t="inlineStr">
        <is>
          <t>1</t>
        </is>
      </c>
      <c r="J142" t="inlineStr">
        <is>
          <t>Yes</t>
        </is>
      </c>
      <c r="K142" t="inlineStr">
        <is>
          <t>No</t>
        </is>
      </c>
      <c r="L142" t="inlineStr">
        <is>
          <t>0</t>
        </is>
      </c>
      <c r="M142" t="inlineStr">
        <is>
          <t>Virshup, Bernard, 1922-</t>
        </is>
      </c>
      <c r="N142" t="inlineStr">
        <is>
          <t>New York : Norton, c1985.</t>
        </is>
      </c>
      <c r="O142" t="inlineStr">
        <is>
          <t>1985</t>
        </is>
      </c>
      <c r="Q142" t="inlineStr">
        <is>
          <t>eng</t>
        </is>
      </c>
      <c r="R142" t="inlineStr">
        <is>
          <t>xxu</t>
        </is>
      </c>
      <c r="T142" t="inlineStr">
        <is>
          <t xml:space="preserve">W  </t>
        </is>
      </c>
      <c r="U142" t="n">
        <v>17</v>
      </c>
      <c r="V142" t="n">
        <v>17</v>
      </c>
      <c r="W142" t="inlineStr">
        <is>
          <t>1998-03-23</t>
        </is>
      </c>
      <c r="X142" t="inlineStr">
        <is>
          <t>1998-03-23</t>
        </is>
      </c>
      <c r="Y142" t="inlineStr">
        <is>
          <t>1987-09-30</t>
        </is>
      </c>
      <c r="Z142" t="inlineStr">
        <is>
          <t>1987-09-30</t>
        </is>
      </c>
      <c r="AA142" t="n">
        <v>126</v>
      </c>
      <c r="AB142" t="n">
        <v>114</v>
      </c>
      <c r="AC142" t="n">
        <v>206</v>
      </c>
      <c r="AD142" t="n">
        <v>2</v>
      </c>
      <c r="AE142" t="n">
        <v>2</v>
      </c>
      <c r="AF142" t="n">
        <v>1</v>
      </c>
      <c r="AG142" t="n">
        <v>3</v>
      </c>
      <c r="AH142" t="n">
        <v>0</v>
      </c>
      <c r="AI142" t="n">
        <v>2</v>
      </c>
      <c r="AJ142" t="n">
        <v>0</v>
      </c>
      <c r="AK142" t="n">
        <v>0</v>
      </c>
      <c r="AL142" t="n">
        <v>1</v>
      </c>
      <c r="AM142" t="n">
        <v>2</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HYPERLINK("https://creighton-primo.hosted.exlibrisgroup.com/primo-explore/search?tab=default_tab&amp;search_scope=EVERYTHING&amp;vid=01CRU&amp;lang=en_US&amp;offset=0&amp;query=any,contains,991001170569702656","Catalog Record")</f>
        <v/>
      </c>
      <c r="AV142">
        <f>HYPERLINK("http://www.worldcat.org/oclc/12188797","WorldCat Record")</f>
        <v/>
      </c>
      <c r="AW142" t="inlineStr">
        <is>
          <t>460725:eng</t>
        </is>
      </c>
      <c r="AX142" t="inlineStr">
        <is>
          <t>12188797</t>
        </is>
      </c>
      <c r="AY142" t="inlineStr">
        <is>
          <t>991001170569702656</t>
        </is>
      </c>
      <c r="AZ142" t="inlineStr">
        <is>
          <t>991001170569702656</t>
        </is>
      </c>
      <c r="BA142" t="inlineStr">
        <is>
          <t>2268558660002656</t>
        </is>
      </c>
      <c r="BB142" t="inlineStr">
        <is>
          <t>BOOK</t>
        </is>
      </c>
      <c r="BD142" t="inlineStr">
        <is>
          <t>9780393022315</t>
        </is>
      </c>
      <c r="BE142" t="inlineStr">
        <is>
          <t>30001000307035</t>
        </is>
      </c>
      <c r="BF142" t="inlineStr">
        <is>
          <t>893121238</t>
        </is>
      </c>
    </row>
    <row r="143">
      <c r="A143" t="inlineStr">
        <is>
          <t>No</t>
        </is>
      </c>
      <c r="B143" t="inlineStr">
        <is>
          <t>CUHSL</t>
        </is>
      </c>
      <c r="C143" t="inlineStr">
        <is>
          <t>SHELVES</t>
        </is>
      </c>
      <c r="D143" t="inlineStr">
        <is>
          <t>W 18 W226h 1974</t>
        </is>
      </c>
      <c r="E143" t="inlineStr">
        <is>
          <t>0                      W  0018000W  226h        1974</t>
        </is>
      </c>
      <c r="F143" t="inlineStr">
        <is>
          <t>The health profession educational organization and the governmental process / Margaret E. Walsh.</t>
        </is>
      </c>
      <c r="H143" t="inlineStr">
        <is>
          <t>No</t>
        </is>
      </c>
      <c r="I143" t="inlineStr">
        <is>
          <t>1</t>
        </is>
      </c>
      <c r="J143" t="inlineStr">
        <is>
          <t>No</t>
        </is>
      </c>
      <c r="K143" t="inlineStr">
        <is>
          <t>No</t>
        </is>
      </c>
      <c r="L143" t="inlineStr">
        <is>
          <t>0</t>
        </is>
      </c>
      <c r="M143" t="inlineStr">
        <is>
          <t>Walsh, Margaret E.</t>
        </is>
      </c>
      <c r="N143" t="inlineStr">
        <is>
          <t>New York : National League for Nursing, c1974.</t>
        </is>
      </c>
      <c r="O143" t="inlineStr">
        <is>
          <t>1974</t>
        </is>
      </c>
      <c r="Q143" t="inlineStr">
        <is>
          <t>eng</t>
        </is>
      </c>
      <c r="R143" t="inlineStr">
        <is>
          <t>nyu</t>
        </is>
      </c>
      <c r="S143" t="inlineStr">
        <is>
          <t>NLN pub. no. 14-1541</t>
        </is>
      </c>
      <c r="T143" t="inlineStr">
        <is>
          <t xml:space="preserve">W  </t>
        </is>
      </c>
      <c r="U143" t="n">
        <v>2</v>
      </c>
      <c r="V143" t="n">
        <v>2</v>
      </c>
      <c r="W143" t="inlineStr">
        <is>
          <t>2002-09-05</t>
        </is>
      </c>
      <c r="X143" t="inlineStr">
        <is>
          <t>2002-09-05</t>
        </is>
      </c>
      <c r="Y143" t="inlineStr">
        <is>
          <t>1987-10-14</t>
        </is>
      </c>
      <c r="Z143" t="inlineStr">
        <is>
          <t>1987-10-14</t>
        </is>
      </c>
      <c r="AA143" t="n">
        <v>67</v>
      </c>
      <c r="AB143" t="n">
        <v>60</v>
      </c>
      <c r="AC143" t="n">
        <v>62</v>
      </c>
      <c r="AD143" t="n">
        <v>2</v>
      </c>
      <c r="AE143" t="n">
        <v>2</v>
      </c>
      <c r="AF143" t="n">
        <v>4</v>
      </c>
      <c r="AG143" t="n">
        <v>4</v>
      </c>
      <c r="AH143" t="n">
        <v>0</v>
      </c>
      <c r="AI143" t="n">
        <v>0</v>
      </c>
      <c r="AJ143" t="n">
        <v>1</v>
      </c>
      <c r="AK143" t="n">
        <v>1</v>
      </c>
      <c r="AL143" t="n">
        <v>3</v>
      </c>
      <c r="AM143" t="n">
        <v>3</v>
      </c>
      <c r="AN143" t="n">
        <v>1</v>
      </c>
      <c r="AO143" t="n">
        <v>1</v>
      </c>
      <c r="AP143" t="n">
        <v>0</v>
      </c>
      <c r="AQ143" t="n">
        <v>0</v>
      </c>
      <c r="AR143" t="inlineStr">
        <is>
          <t>No</t>
        </is>
      </c>
      <c r="AS143" t="inlineStr">
        <is>
          <t>Yes</t>
        </is>
      </c>
      <c r="AT143">
        <f>HYPERLINK("http://catalog.hathitrust.org/Record/001558439","HathiTrust Record")</f>
        <v/>
      </c>
      <c r="AU143">
        <f>HYPERLINK("https://creighton-primo.hosted.exlibrisgroup.com/primo-explore/search?tab=default_tab&amp;search_scope=EVERYTHING&amp;vid=01CRU&amp;lang=en_US&amp;offset=0&amp;query=any,contains,991001363079702656","Catalog Record")</f>
        <v/>
      </c>
      <c r="AV143">
        <f>HYPERLINK("http://www.worldcat.org/oclc/1144197","WorldCat Record")</f>
        <v/>
      </c>
      <c r="AW143" t="inlineStr">
        <is>
          <t>2067225:eng</t>
        </is>
      </c>
      <c r="AX143" t="inlineStr">
        <is>
          <t>1144197</t>
        </is>
      </c>
      <c r="AY143" t="inlineStr">
        <is>
          <t>991001363079702656</t>
        </is>
      </c>
      <c r="AZ143" t="inlineStr">
        <is>
          <t>991001363079702656</t>
        </is>
      </c>
      <c r="BA143" t="inlineStr">
        <is>
          <t>2263391380002656</t>
        </is>
      </c>
      <c r="BB143" t="inlineStr">
        <is>
          <t>BOOK</t>
        </is>
      </c>
      <c r="BE143" t="inlineStr">
        <is>
          <t>30001000461014</t>
        </is>
      </c>
      <c r="BF143" t="inlineStr">
        <is>
          <t>893736520</t>
        </is>
      </c>
    </row>
    <row r="144">
      <c r="A144" t="inlineStr">
        <is>
          <t>No</t>
        </is>
      </c>
      <c r="B144" t="inlineStr">
        <is>
          <t>CUHSL</t>
        </is>
      </c>
      <c r="C144" t="inlineStr">
        <is>
          <t>SHELVES</t>
        </is>
      </c>
      <c r="D144" t="inlineStr">
        <is>
          <t>W 18 W241s 1989</t>
        </is>
      </c>
      <c r="E144" t="inlineStr">
        <is>
          <t>0                      W  0018000W  241s        1989</t>
        </is>
      </c>
      <c r="F144" t="inlineStr">
        <is>
          <t>Strategic planning, marketing, and evaluation for nursing education and service / Carolyn Feher Waltz, Susan Bond Chambers, Nan B. Hechenberger.</t>
        </is>
      </c>
      <c r="H144" t="inlineStr">
        <is>
          <t>No</t>
        </is>
      </c>
      <c r="I144" t="inlineStr">
        <is>
          <t>1</t>
        </is>
      </c>
      <c r="J144" t="inlineStr">
        <is>
          <t>No</t>
        </is>
      </c>
      <c r="K144" t="inlineStr">
        <is>
          <t>No</t>
        </is>
      </c>
      <c r="L144" t="inlineStr">
        <is>
          <t>0</t>
        </is>
      </c>
      <c r="M144" t="inlineStr">
        <is>
          <t>Waltz, Carolyn Feher.</t>
        </is>
      </c>
      <c r="N144" t="inlineStr">
        <is>
          <t>New York, NY : National League for Nursing, c1989.</t>
        </is>
      </c>
      <c r="O144" t="inlineStr">
        <is>
          <t>1989</t>
        </is>
      </c>
      <c r="Q144" t="inlineStr">
        <is>
          <t>eng</t>
        </is>
      </c>
      <c r="R144" t="inlineStr">
        <is>
          <t>nyu</t>
        </is>
      </c>
      <c r="S144" t="inlineStr">
        <is>
          <t>NLN pub. no. 15-2282</t>
        </is>
      </c>
      <c r="T144" t="inlineStr">
        <is>
          <t xml:space="preserve">W  </t>
        </is>
      </c>
      <c r="U144" t="n">
        <v>2</v>
      </c>
      <c r="V144" t="n">
        <v>2</v>
      </c>
      <c r="W144" t="inlineStr">
        <is>
          <t>2002-09-05</t>
        </is>
      </c>
      <c r="X144" t="inlineStr">
        <is>
          <t>2002-09-05</t>
        </is>
      </c>
      <c r="Y144" t="inlineStr">
        <is>
          <t>1989-08-21</t>
        </is>
      </c>
      <c r="Z144" t="inlineStr">
        <is>
          <t>1989-08-21</t>
        </is>
      </c>
      <c r="AA144" t="n">
        <v>196</v>
      </c>
      <c r="AB144" t="n">
        <v>168</v>
      </c>
      <c r="AC144" t="n">
        <v>175</v>
      </c>
      <c r="AD144" t="n">
        <v>3</v>
      </c>
      <c r="AE144" t="n">
        <v>3</v>
      </c>
      <c r="AF144" t="n">
        <v>8</v>
      </c>
      <c r="AG144" t="n">
        <v>8</v>
      </c>
      <c r="AH144" t="n">
        <v>2</v>
      </c>
      <c r="AI144" t="n">
        <v>2</v>
      </c>
      <c r="AJ144" t="n">
        <v>1</v>
      </c>
      <c r="AK144" t="n">
        <v>1</v>
      </c>
      <c r="AL144" t="n">
        <v>5</v>
      </c>
      <c r="AM144" t="n">
        <v>5</v>
      </c>
      <c r="AN144" t="n">
        <v>1</v>
      </c>
      <c r="AO144" t="n">
        <v>1</v>
      </c>
      <c r="AP144" t="n">
        <v>0</v>
      </c>
      <c r="AQ144" t="n">
        <v>0</v>
      </c>
      <c r="AR144" t="inlineStr">
        <is>
          <t>No</t>
        </is>
      </c>
      <c r="AS144" t="inlineStr">
        <is>
          <t>Yes</t>
        </is>
      </c>
      <c r="AT144">
        <f>HYPERLINK("http://catalog.hathitrust.org/Record/002506754","HathiTrust Record")</f>
        <v/>
      </c>
      <c r="AU144">
        <f>HYPERLINK("https://creighton-primo.hosted.exlibrisgroup.com/primo-explore/search?tab=default_tab&amp;search_scope=EVERYTHING&amp;vid=01CRU&amp;lang=en_US&amp;offset=0&amp;query=any,contains,991001313629702656","Catalog Record")</f>
        <v/>
      </c>
      <c r="AV144">
        <f>HYPERLINK("http://www.worldcat.org/oclc/20113553","WorldCat Record")</f>
        <v/>
      </c>
      <c r="AW144" t="inlineStr">
        <is>
          <t>21329216:eng</t>
        </is>
      </c>
      <c r="AX144" t="inlineStr">
        <is>
          <t>20113553</t>
        </is>
      </c>
      <c r="AY144" t="inlineStr">
        <is>
          <t>991001313629702656</t>
        </is>
      </c>
      <c r="AZ144" t="inlineStr">
        <is>
          <t>991001313629702656</t>
        </is>
      </c>
      <c r="BA144" t="inlineStr">
        <is>
          <t>2269163020002656</t>
        </is>
      </c>
      <c r="BB144" t="inlineStr">
        <is>
          <t>BOOK</t>
        </is>
      </c>
      <c r="BE144" t="inlineStr">
        <is>
          <t>30001001751967</t>
        </is>
      </c>
      <c r="BF144" t="inlineStr">
        <is>
          <t>893740989</t>
        </is>
      </c>
    </row>
    <row r="145">
      <c r="A145" t="inlineStr">
        <is>
          <t>No</t>
        </is>
      </c>
      <c r="B145" t="inlineStr">
        <is>
          <t>CUHSL</t>
        </is>
      </c>
      <c r="C145" t="inlineStr">
        <is>
          <t>SHELVES</t>
        </is>
      </c>
      <c r="D145" t="inlineStr">
        <is>
          <t>W 18 W297m 1961</t>
        </is>
      </c>
      <c r="E145" t="inlineStr">
        <is>
          <t>0                      W  0018000W  297m        1961</t>
        </is>
      </c>
      <c r="F145" t="inlineStr">
        <is>
          <t>Medical teaching in western civilization : a history prepared from the writings of ancient &amp; modern authors / William B. Wartman.</t>
        </is>
      </c>
      <c r="H145" t="inlineStr">
        <is>
          <t>No</t>
        </is>
      </c>
      <c r="I145" t="inlineStr">
        <is>
          <t>1</t>
        </is>
      </c>
      <c r="J145" t="inlineStr">
        <is>
          <t>No</t>
        </is>
      </c>
      <c r="K145" t="inlineStr">
        <is>
          <t>No</t>
        </is>
      </c>
      <c r="L145" t="inlineStr">
        <is>
          <t>0</t>
        </is>
      </c>
      <c r="M145" t="inlineStr">
        <is>
          <t>Wartman, William Bechmann, 1907-</t>
        </is>
      </c>
      <c r="N145" t="inlineStr">
        <is>
          <t>Chicago : Year Book Medical Publishers, c1961.</t>
        </is>
      </c>
      <c r="O145" t="inlineStr">
        <is>
          <t>1980</t>
        </is>
      </c>
      <c r="Q145" t="inlineStr">
        <is>
          <t>eng</t>
        </is>
      </c>
      <c r="R145" t="inlineStr">
        <is>
          <t>miu</t>
        </is>
      </c>
      <c r="T145" t="inlineStr">
        <is>
          <t xml:space="preserve">W  </t>
        </is>
      </c>
      <c r="U145" t="n">
        <v>2</v>
      </c>
      <c r="V145" t="n">
        <v>2</v>
      </c>
      <c r="W145" t="inlineStr">
        <is>
          <t>2006-11-21</t>
        </is>
      </c>
      <c r="X145" t="inlineStr">
        <is>
          <t>2006-11-21</t>
        </is>
      </c>
      <c r="Y145" t="inlineStr">
        <is>
          <t>1987-10-08</t>
        </is>
      </c>
      <c r="Z145" t="inlineStr">
        <is>
          <t>1987-10-08</t>
        </is>
      </c>
      <c r="AA145" t="n">
        <v>29</v>
      </c>
      <c r="AB145" t="n">
        <v>28</v>
      </c>
      <c r="AC145" t="n">
        <v>159</v>
      </c>
      <c r="AD145" t="n">
        <v>1</v>
      </c>
      <c r="AE145" t="n">
        <v>1</v>
      </c>
      <c r="AF145" t="n">
        <v>1</v>
      </c>
      <c r="AG145" t="n">
        <v>5</v>
      </c>
      <c r="AH145" t="n">
        <v>1</v>
      </c>
      <c r="AI145" t="n">
        <v>1</v>
      </c>
      <c r="AJ145" t="n">
        <v>0</v>
      </c>
      <c r="AK145" t="n">
        <v>1</v>
      </c>
      <c r="AL145" t="n">
        <v>0</v>
      </c>
      <c r="AM145" t="n">
        <v>3</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HYPERLINK("https://creighton-primo.hosted.exlibrisgroup.com/primo-explore/search?tab=default_tab&amp;search_scope=EVERYTHING&amp;vid=01CRU&amp;lang=en_US&amp;offset=0&amp;query=any,contains,991001170779702656","Catalog Record")</f>
        <v/>
      </c>
      <c r="AV145">
        <f>HYPERLINK("http://www.worldcat.org/oclc/6747226","WorldCat Record")</f>
        <v/>
      </c>
      <c r="AW145" t="inlineStr">
        <is>
          <t>5998365:eng</t>
        </is>
      </c>
      <c r="AX145" t="inlineStr">
        <is>
          <t>6747226</t>
        </is>
      </c>
      <c r="AY145" t="inlineStr">
        <is>
          <t>991001170779702656</t>
        </is>
      </c>
      <c r="AZ145" t="inlineStr">
        <is>
          <t>991001170779702656</t>
        </is>
      </c>
      <c r="BA145" t="inlineStr">
        <is>
          <t>2267481950002656</t>
        </is>
      </c>
      <c r="BB145" t="inlineStr">
        <is>
          <t>BOOK</t>
        </is>
      </c>
      <c r="BE145" t="inlineStr">
        <is>
          <t>30001000307076</t>
        </is>
      </c>
      <c r="BF145" t="inlineStr">
        <is>
          <t>893450920</t>
        </is>
      </c>
    </row>
    <row r="146">
      <c r="A146" t="inlineStr">
        <is>
          <t>No</t>
        </is>
      </c>
      <c r="B146" t="inlineStr">
        <is>
          <t>CUHSL</t>
        </is>
      </c>
      <c r="C146" t="inlineStr">
        <is>
          <t>SHELVES</t>
        </is>
      </c>
      <c r="D146" t="inlineStr">
        <is>
          <t>W18 W523f 2001</t>
        </is>
      </c>
      <c r="E146" t="inlineStr">
        <is>
          <t>0                      W  0018000W  523f        2001</t>
        </is>
      </c>
      <c r="F146" t="inlineStr">
        <is>
          <t>Fostering reflection and providing feedback : helping others learn from experience / Jane Westberg with Hilliard Jason.</t>
        </is>
      </c>
      <c r="H146" t="inlineStr">
        <is>
          <t>No</t>
        </is>
      </c>
      <c r="I146" t="inlineStr">
        <is>
          <t>1</t>
        </is>
      </c>
      <c r="J146" t="inlineStr">
        <is>
          <t>No</t>
        </is>
      </c>
      <c r="K146" t="inlineStr">
        <is>
          <t>No</t>
        </is>
      </c>
      <c r="L146" t="inlineStr">
        <is>
          <t>0</t>
        </is>
      </c>
      <c r="M146" t="inlineStr">
        <is>
          <t>Westberg, Jane.</t>
        </is>
      </c>
      <c r="N146" t="inlineStr">
        <is>
          <t>New York : Springer Pub., c2001.</t>
        </is>
      </c>
      <c r="O146" t="inlineStr">
        <is>
          <t>2001</t>
        </is>
      </c>
      <c r="Q146" t="inlineStr">
        <is>
          <t>eng</t>
        </is>
      </c>
      <c r="R146" t="inlineStr">
        <is>
          <t>nyu</t>
        </is>
      </c>
      <c r="S146" t="inlineStr">
        <is>
          <t>Springer series on medical education ; v. 490</t>
        </is>
      </c>
      <c r="T146" t="inlineStr">
        <is>
          <t xml:space="preserve">W  </t>
        </is>
      </c>
      <c r="U146" t="n">
        <v>3</v>
      </c>
      <c r="V146" t="n">
        <v>3</v>
      </c>
      <c r="W146" t="inlineStr">
        <is>
          <t>2004-05-08</t>
        </is>
      </c>
      <c r="X146" t="inlineStr">
        <is>
          <t>2004-05-08</t>
        </is>
      </c>
      <c r="Y146" t="inlineStr">
        <is>
          <t>2002-02-22</t>
        </is>
      </c>
      <c r="Z146" t="inlineStr">
        <is>
          <t>2002-02-22</t>
        </is>
      </c>
      <c r="AA146" t="n">
        <v>140</v>
      </c>
      <c r="AB146" t="n">
        <v>86</v>
      </c>
      <c r="AC146" t="n">
        <v>803</v>
      </c>
      <c r="AD146" t="n">
        <v>1</v>
      </c>
      <c r="AE146" t="n">
        <v>7</v>
      </c>
      <c r="AF146" t="n">
        <v>2</v>
      </c>
      <c r="AG146" t="n">
        <v>26</v>
      </c>
      <c r="AH146" t="n">
        <v>1</v>
      </c>
      <c r="AI146" t="n">
        <v>10</v>
      </c>
      <c r="AJ146" t="n">
        <v>0</v>
      </c>
      <c r="AK146" t="n">
        <v>6</v>
      </c>
      <c r="AL146" t="n">
        <v>1</v>
      </c>
      <c r="AM146" t="n">
        <v>7</v>
      </c>
      <c r="AN146" t="n">
        <v>0</v>
      </c>
      <c r="AO146" t="n">
        <v>6</v>
      </c>
      <c r="AP146" t="n">
        <v>0</v>
      </c>
      <c r="AQ146" t="n">
        <v>1</v>
      </c>
      <c r="AR146" t="inlineStr">
        <is>
          <t>No</t>
        </is>
      </c>
      <c r="AS146" t="inlineStr">
        <is>
          <t>Yes</t>
        </is>
      </c>
      <c r="AT146">
        <f>HYPERLINK("http://catalog.hathitrust.org/Record/004204970","HathiTrust Record")</f>
        <v/>
      </c>
      <c r="AU146">
        <f>HYPERLINK("https://creighton-primo.hosted.exlibrisgroup.com/primo-explore/search?tab=default_tab&amp;search_scope=EVERYTHING&amp;vid=01CRU&amp;lang=en_US&amp;offset=0&amp;query=any,contains,991000305989702656","Catalog Record")</f>
        <v/>
      </c>
      <c r="AV146">
        <f>HYPERLINK("http://www.worldcat.org/oclc/46731201","WorldCat Record")</f>
        <v/>
      </c>
      <c r="AW146" t="inlineStr">
        <is>
          <t>802793241:eng</t>
        </is>
      </c>
      <c r="AX146" t="inlineStr">
        <is>
          <t>46731201</t>
        </is>
      </c>
      <c r="AY146" t="inlineStr">
        <is>
          <t>991000305989702656</t>
        </is>
      </c>
      <c r="AZ146" t="inlineStr">
        <is>
          <t>991000305989702656</t>
        </is>
      </c>
      <c r="BA146" t="inlineStr">
        <is>
          <t>2259906980002656</t>
        </is>
      </c>
      <c r="BB146" t="inlineStr">
        <is>
          <t>BOOK</t>
        </is>
      </c>
      <c r="BD146" t="inlineStr">
        <is>
          <t>9780826114297</t>
        </is>
      </c>
      <c r="BE146" t="inlineStr">
        <is>
          <t>30001004236859</t>
        </is>
      </c>
      <c r="BF146" t="inlineStr">
        <is>
          <t>893274952</t>
        </is>
      </c>
    </row>
    <row r="147">
      <c r="A147" t="inlineStr">
        <is>
          <t>No</t>
        </is>
      </c>
      <c r="B147" t="inlineStr">
        <is>
          <t>CUHSL</t>
        </is>
      </c>
      <c r="C147" t="inlineStr">
        <is>
          <t>SHELVES</t>
        </is>
      </c>
      <c r="D147" t="inlineStr">
        <is>
          <t>W 18 W585t 1987</t>
        </is>
      </c>
      <c r="E147" t="inlineStr">
        <is>
          <t>0                      W  0018000W  585t        1987</t>
        </is>
      </c>
      <c r="F147" t="inlineStr">
        <is>
          <t>The task of medicine : dialogue at Wickenburg / Kerr L. White.</t>
        </is>
      </c>
      <c r="H147" t="inlineStr">
        <is>
          <t>No</t>
        </is>
      </c>
      <c r="I147" t="inlineStr">
        <is>
          <t>1</t>
        </is>
      </c>
      <c r="J147" t="inlineStr">
        <is>
          <t>No</t>
        </is>
      </c>
      <c r="K147" t="inlineStr">
        <is>
          <t>No</t>
        </is>
      </c>
      <c r="L147" t="inlineStr">
        <is>
          <t>0</t>
        </is>
      </c>
      <c r="M147" t="inlineStr">
        <is>
          <t>White, Kerr L.</t>
        </is>
      </c>
      <c r="N147" t="inlineStr">
        <is>
          <t>Menlo Park, Calif. : Henry J. Kaiser Family Foundation, c1988.</t>
        </is>
      </c>
      <c r="O147" t="inlineStr">
        <is>
          <t>1988</t>
        </is>
      </c>
      <c r="Q147" t="inlineStr">
        <is>
          <t>eng</t>
        </is>
      </c>
      <c r="R147" t="inlineStr">
        <is>
          <t>cau</t>
        </is>
      </c>
      <c r="T147" t="inlineStr">
        <is>
          <t xml:space="preserve">W  </t>
        </is>
      </c>
      <c r="U147" t="n">
        <v>6</v>
      </c>
      <c r="V147" t="n">
        <v>6</v>
      </c>
      <c r="W147" t="inlineStr">
        <is>
          <t>1991-04-26</t>
        </is>
      </c>
      <c r="X147" t="inlineStr">
        <is>
          <t>1991-04-26</t>
        </is>
      </c>
      <c r="Y147" t="inlineStr">
        <is>
          <t>1988-05-14</t>
        </is>
      </c>
      <c r="Z147" t="inlineStr">
        <is>
          <t>1988-05-14</t>
        </is>
      </c>
      <c r="AA147" t="n">
        <v>152</v>
      </c>
      <c r="AB147" t="n">
        <v>124</v>
      </c>
      <c r="AC147" t="n">
        <v>131</v>
      </c>
      <c r="AD147" t="n">
        <v>1</v>
      </c>
      <c r="AE147" t="n">
        <v>1</v>
      </c>
      <c r="AF147" t="n">
        <v>1</v>
      </c>
      <c r="AG147" t="n">
        <v>1</v>
      </c>
      <c r="AH147" t="n">
        <v>0</v>
      </c>
      <c r="AI147" t="n">
        <v>0</v>
      </c>
      <c r="AJ147" t="n">
        <v>0</v>
      </c>
      <c r="AK147" t="n">
        <v>0</v>
      </c>
      <c r="AL147" t="n">
        <v>1</v>
      </c>
      <c r="AM147" t="n">
        <v>1</v>
      </c>
      <c r="AN147" t="n">
        <v>0</v>
      </c>
      <c r="AO147" t="n">
        <v>0</v>
      </c>
      <c r="AP147" t="n">
        <v>0</v>
      </c>
      <c r="AQ147" t="n">
        <v>0</v>
      </c>
      <c r="AR147" t="inlineStr">
        <is>
          <t>No</t>
        </is>
      </c>
      <c r="AS147" t="inlineStr">
        <is>
          <t>Yes</t>
        </is>
      </c>
      <c r="AT147">
        <f>HYPERLINK("http://catalog.hathitrust.org/Record/000920326","HathiTrust Record")</f>
        <v/>
      </c>
      <c r="AU147">
        <f>HYPERLINK("https://creighton-primo.hosted.exlibrisgroup.com/primo-explore/search?tab=default_tab&amp;search_scope=EVERYTHING&amp;vid=01CRU&amp;lang=en_US&amp;offset=0&amp;query=any,contains,991001190769702656","Catalog Record")</f>
        <v/>
      </c>
      <c r="AV147">
        <f>HYPERLINK("http://www.worldcat.org/oclc/17927982","WorldCat Record")</f>
        <v/>
      </c>
      <c r="AW147" t="inlineStr">
        <is>
          <t>233071967:eng</t>
        </is>
      </c>
      <c r="AX147" t="inlineStr">
        <is>
          <t>17927982</t>
        </is>
      </c>
      <c r="AY147" t="inlineStr">
        <is>
          <t>991001190769702656</t>
        </is>
      </c>
      <c r="AZ147" t="inlineStr">
        <is>
          <t>991001190769702656</t>
        </is>
      </c>
      <c r="BA147" t="inlineStr">
        <is>
          <t>2265215570002656</t>
        </is>
      </c>
      <c r="BB147" t="inlineStr">
        <is>
          <t>BOOK</t>
        </is>
      </c>
      <c r="BD147" t="inlineStr">
        <is>
          <t>9780944525050</t>
        </is>
      </c>
      <c r="BE147" t="inlineStr">
        <is>
          <t>30001000979296</t>
        </is>
      </c>
      <c r="BF147" t="inlineStr">
        <is>
          <t>893727326</t>
        </is>
      </c>
    </row>
    <row r="148">
      <c r="A148" t="inlineStr">
        <is>
          <t>No</t>
        </is>
      </c>
      <c r="B148" t="inlineStr">
        <is>
          <t>CUHSL</t>
        </is>
      </c>
      <c r="C148" t="inlineStr">
        <is>
          <t>SHELVES</t>
        </is>
      </c>
      <c r="D148" t="inlineStr">
        <is>
          <t>W 18 Y45s 1986</t>
        </is>
      </c>
      <c r="E148" t="inlineStr">
        <is>
          <t>0                      W  0018000Y  45s         1986</t>
        </is>
      </c>
      <c r="F148" t="inlineStr">
        <is>
          <t>Specialty board review, family practice / Ernest Yuh-Ting Yen, V. Bushan Bhardwaj.</t>
        </is>
      </c>
      <c r="H148" t="inlineStr">
        <is>
          <t>No</t>
        </is>
      </c>
      <c r="I148" t="inlineStr">
        <is>
          <t>1</t>
        </is>
      </c>
      <c r="J148" t="inlineStr">
        <is>
          <t>No</t>
        </is>
      </c>
      <c r="K148" t="inlineStr">
        <is>
          <t>No</t>
        </is>
      </c>
      <c r="L148" t="inlineStr">
        <is>
          <t>0</t>
        </is>
      </c>
      <c r="M148" t="inlineStr">
        <is>
          <t>Yen, Ernest Yuh-Ting, 1937-</t>
        </is>
      </c>
      <c r="N148" t="inlineStr">
        <is>
          <t>Norwalk, Conn. : Appleton-Century-Crofts, c1986.</t>
        </is>
      </c>
      <c r="O148" t="inlineStr">
        <is>
          <t>1986</t>
        </is>
      </c>
      <c r="P148" t="inlineStr">
        <is>
          <t>3rd ed.</t>
        </is>
      </c>
      <c r="Q148" t="inlineStr">
        <is>
          <t>eng</t>
        </is>
      </c>
      <c r="R148" t="inlineStr">
        <is>
          <t>ctu</t>
        </is>
      </c>
      <c r="S148" t="inlineStr">
        <is>
          <t>Arco medical review series</t>
        </is>
      </c>
      <c r="T148" t="inlineStr">
        <is>
          <t xml:space="preserve">W  </t>
        </is>
      </c>
      <c r="U148" t="n">
        <v>24</v>
      </c>
      <c r="V148" t="n">
        <v>24</v>
      </c>
      <c r="W148" t="inlineStr">
        <is>
          <t>1998-04-20</t>
        </is>
      </c>
      <c r="X148" t="inlineStr">
        <is>
          <t>1998-04-20</t>
        </is>
      </c>
      <c r="Y148" t="inlineStr">
        <is>
          <t>1987-10-05</t>
        </is>
      </c>
      <c r="Z148" t="inlineStr">
        <is>
          <t>1987-10-05</t>
        </is>
      </c>
      <c r="AA148" t="n">
        <v>24</v>
      </c>
      <c r="AB148" t="n">
        <v>19</v>
      </c>
      <c r="AC148" t="n">
        <v>124</v>
      </c>
      <c r="AD148" t="n">
        <v>1</v>
      </c>
      <c r="AE148" t="n">
        <v>1</v>
      </c>
      <c r="AF148" t="n">
        <v>0</v>
      </c>
      <c r="AG148" t="n">
        <v>2</v>
      </c>
      <c r="AH148" t="n">
        <v>0</v>
      </c>
      <c r="AI148" t="n">
        <v>0</v>
      </c>
      <c r="AJ148" t="n">
        <v>0</v>
      </c>
      <c r="AK148" t="n">
        <v>1</v>
      </c>
      <c r="AL148" t="n">
        <v>0</v>
      </c>
      <c r="AM148" t="n">
        <v>1</v>
      </c>
      <c r="AN148" t="n">
        <v>0</v>
      </c>
      <c r="AO148" t="n">
        <v>0</v>
      </c>
      <c r="AP148" t="n">
        <v>0</v>
      </c>
      <c r="AQ148" t="n">
        <v>0</v>
      </c>
      <c r="AR148" t="inlineStr">
        <is>
          <t>No</t>
        </is>
      </c>
      <c r="AS148" t="inlineStr">
        <is>
          <t>No</t>
        </is>
      </c>
      <c r="AU148">
        <f>HYPERLINK("https://creighton-primo.hosted.exlibrisgroup.com/primo-explore/search?tab=default_tab&amp;search_scope=EVERYTHING&amp;vid=01CRU&amp;lang=en_US&amp;offset=0&amp;query=any,contains,991000753529702656","Catalog Record")</f>
        <v/>
      </c>
      <c r="AV148">
        <f>HYPERLINK("http://www.worldcat.org/oclc/15223329","WorldCat Record")</f>
        <v/>
      </c>
      <c r="AW148" t="inlineStr">
        <is>
          <t>10243579:eng</t>
        </is>
      </c>
      <c r="AX148" t="inlineStr">
        <is>
          <t>15223329</t>
        </is>
      </c>
      <c r="AY148" t="inlineStr">
        <is>
          <t>991000753529702656</t>
        </is>
      </c>
      <c r="AZ148" t="inlineStr">
        <is>
          <t>991000753529702656</t>
        </is>
      </c>
      <c r="BA148" t="inlineStr">
        <is>
          <t>2268563320002656</t>
        </is>
      </c>
      <c r="BB148" t="inlineStr">
        <is>
          <t>BOOK</t>
        </is>
      </c>
      <c r="BD148" t="inlineStr">
        <is>
          <t>9780838586273</t>
        </is>
      </c>
      <c r="BE148" t="inlineStr">
        <is>
          <t>30001000051492</t>
        </is>
      </c>
      <c r="BF148" t="inlineStr">
        <is>
          <t>893740103</t>
        </is>
      </c>
    </row>
    <row r="149">
      <c r="A149" t="inlineStr">
        <is>
          <t>No</t>
        </is>
      </c>
      <c r="B149" t="inlineStr">
        <is>
          <t>CUHSL</t>
        </is>
      </c>
      <c r="C149" t="inlineStr">
        <is>
          <t>SHELVES</t>
        </is>
      </c>
      <c r="D149" t="inlineStr">
        <is>
          <t>W18.2 A6491 2003</t>
        </is>
      </c>
      <c r="E149" t="inlineStr">
        <is>
          <t>0                      W  0018200A  6491        2003</t>
        </is>
      </c>
      <c r="F149" t="inlineStr">
        <is>
          <t>Appleton &amp; Lange review for the USMLE step 2 / [edited by] Carlyle H. Chan.</t>
        </is>
      </c>
      <c r="H149" t="inlineStr">
        <is>
          <t>No</t>
        </is>
      </c>
      <c r="I149" t="inlineStr">
        <is>
          <t>1</t>
        </is>
      </c>
      <c r="J149" t="inlineStr">
        <is>
          <t>No</t>
        </is>
      </c>
      <c r="K149" t="inlineStr">
        <is>
          <t>No</t>
        </is>
      </c>
      <c r="L149" t="inlineStr">
        <is>
          <t>0</t>
        </is>
      </c>
      <c r="N149" t="inlineStr">
        <is>
          <t>New York : McGraw-Hill, Health Professions Division, c2003.</t>
        </is>
      </c>
      <c r="O149" t="inlineStr">
        <is>
          <t>2003</t>
        </is>
      </c>
      <c r="P149" t="inlineStr">
        <is>
          <t>4th ed.</t>
        </is>
      </c>
      <c r="Q149" t="inlineStr">
        <is>
          <t>eng</t>
        </is>
      </c>
      <c r="R149" t="inlineStr">
        <is>
          <t>nyu</t>
        </is>
      </c>
      <c r="T149" t="inlineStr">
        <is>
          <t xml:space="preserve">W  </t>
        </is>
      </c>
      <c r="U149" t="n">
        <v>35</v>
      </c>
      <c r="V149" t="n">
        <v>35</v>
      </c>
      <c r="W149" t="inlineStr">
        <is>
          <t>2010-03-13</t>
        </is>
      </c>
      <c r="X149" t="inlineStr">
        <is>
          <t>2010-03-13</t>
        </is>
      </c>
      <c r="Y149" t="inlineStr">
        <is>
          <t>2003-12-12</t>
        </is>
      </c>
      <c r="Z149" t="inlineStr">
        <is>
          <t>2003-12-12</t>
        </is>
      </c>
      <c r="AA149" t="n">
        <v>81</v>
      </c>
      <c r="AB149" t="n">
        <v>68</v>
      </c>
      <c r="AC149" t="n">
        <v>68</v>
      </c>
      <c r="AD149" t="n">
        <v>1</v>
      </c>
      <c r="AE149" t="n">
        <v>1</v>
      </c>
      <c r="AF149" t="n">
        <v>1</v>
      </c>
      <c r="AG149" t="n">
        <v>1</v>
      </c>
      <c r="AH149" t="n">
        <v>0</v>
      </c>
      <c r="AI149" t="n">
        <v>0</v>
      </c>
      <c r="AJ149" t="n">
        <v>1</v>
      </c>
      <c r="AK149" t="n">
        <v>1</v>
      </c>
      <c r="AL149" t="n">
        <v>1</v>
      </c>
      <c r="AM149" t="n">
        <v>1</v>
      </c>
      <c r="AN149" t="n">
        <v>0</v>
      </c>
      <c r="AO149" t="n">
        <v>0</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HYPERLINK("https://creighton-primo.hosted.exlibrisgroup.com/primo-explore/search?tab=default_tab&amp;search_scope=EVERYTHING&amp;vid=01CRU&amp;lang=en_US&amp;offset=0&amp;query=any,contains,991000361729702656","Catalog Record")</f>
        <v/>
      </c>
      <c r="AV149">
        <f>HYPERLINK("http://www.worldcat.org/oclc/49874950","WorldCat Record")</f>
        <v/>
      </c>
      <c r="AW149" t="inlineStr">
        <is>
          <t>3859167023:eng</t>
        </is>
      </c>
      <c r="AX149" t="inlineStr">
        <is>
          <t>49874950</t>
        </is>
      </c>
      <c r="AY149" t="inlineStr">
        <is>
          <t>991000361729702656</t>
        </is>
      </c>
      <c r="AZ149" t="inlineStr">
        <is>
          <t>991000361729702656</t>
        </is>
      </c>
      <c r="BA149" t="inlineStr">
        <is>
          <t>2267195510002656</t>
        </is>
      </c>
      <c r="BB149" t="inlineStr">
        <is>
          <t>BOOK</t>
        </is>
      </c>
      <c r="BD149" t="inlineStr">
        <is>
          <t>9780071377287</t>
        </is>
      </c>
      <c r="BE149" t="inlineStr">
        <is>
          <t>30001004508059</t>
        </is>
      </c>
      <c r="BF149" t="inlineStr">
        <is>
          <t>893537111</t>
        </is>
      </c>
    </row>
    <row r="150">
      <c r="A150" t="inlineStr">
        <is>
          <t>No</t>
        </is>
      </c>
      <c r="B150" t="inlineStr">
        <is>
          <t>CUHSL</t>
        </is>
      </c>
      <c r="C150" t="inlineStr">
        <is>
          <t>SHELVES</t>
        </is>
      </c>
      <c r="D150" t="inlineStr">
        <is>
          <t>W 18.2 A6492 1997</t>
        </is>
      </c>
      <c r="E150" t="inlineStr">
        <is>
          <t>0                      W  0018200A  6492        1997</t>
        </is>
      </c>
      <c r="F150" t="inlineStr">
        <is>
          <t>Appleton &amp; Lange's review for the USMLE step 3 / [edited by Samuel L. Jacobs].</t>
        </is>
      </c>
      <c r="H150" t="inlineStr">
        <is>
          <t>No</t>
        </is>
      </c>
      <c r="I150" t="inlineStr">
        <is>
          <t>1</t>
        </is>
      </c>
      <c r="J150" t="inlineStr">
        <is>
          <t>No</t>
        </is>
      </c>
      <c r="K150" t="inlineStr">
        <is>
          <t>Yes</t>
        </is>
      </c>
      <c r="L150" t="inlineStr">
        <is>
          <t>0</t>
        </is>
      </c>
      <c r="N150" t="inlineStr">
        <is>
          <t>Stamford, Conn. : Appleton &amp; Lange, c1997.</t>
        </is>
      </c>
      <c r="O150" t="inlineStr">
        <is>
          <t>1997</t>
        </is>
      </c>
      <c r="P150" t="inlineStr">
        <is>
          <t>2nd ed.</t>
        </is>
      </c>
      <c r="Q150" t="inlineStr">
        <is>
          <t>eng</t>
        </is>
      </c>
      <c r="R150" t="inlineStr">
        <is>
          <t>ctu</t>
        </is>
      </c>
      <c r="S150" t="inlineStr">
        <is>
          <t>A &amp; L review series</t>
        </is>
      </c>
      <c r="T150" t="inlineStr">
        <is>
          <t xml:space="preserve">W  </t>
        </is>
      </c>
      <c r="U150" t="n">
        <v>24</v>
      </c>
      <c r="V150" t="n">
        <v>24</v>
      </c>
      <c r="W150" t="inlineStr">
        <is>
          <t>2008-07-16</t>
        </is>
      </c>
      <c r="X150" t="inlineStr">
        <is>
          <t>2008-07-16</t>
        </is>
      </c>
      <c r="Y150" t="inlineStr">
        <is>
          <t>1998-01-16</t>
        </is>
      </c>
      <c r="Z150" t="inlineStr">
        <is>
          <t>1998-01-16</t>
        </is>
      </c>
      <c r="AA150" t="n">
        <v>69</v>
      </c>
      <c r="AB150" t="n">
        <v>55</v>
      </c>
      <c r="AC150" t="n">
        <v>184</v>
      </c>
      <c r="AD150" t="n">
        <v>1</v>
      </c>
      <c r="AE150" t="n">
        <v>1</v>
      </c>
      <c r="AF150" t="n">
        <v>1</v>
      </c>
      <c r="AG150" t="n">
        <v>5</v>
      </c>
      <c r="AH150" t="n">
        <v>0</v>
      </c>
      <c r="AI150" t="n">
        <v>2</v>
      </c>
      <c r="AJ150" t="n">
        <v>1</v>
      </c>
      <c r="AK150" t="n">
        <v>3</v>
      </c>
      <c r="AL150" t="n">
        <v>0</v>
      </c>
      <c r="AM150" t="n">
        <v>2</v>
      </c>
      <c r="AN150" t="n">
        <v>0</v>
      </c>
      <c r="AO150" t="n">
        <v>0</v>
      </c>
      <c r="AP150" t="n">
        <v>0</v>
      </c>
      <c r="AQ150" t="n">
        <v>0</v>
      </c>
      <c r="AR150" t="inlineStr">
        <is>
          <t>No</t>
        </is>
      </c>
      <c r="AS150" t="inlineStr">
        <is>
          <t>Yes</t>
        </is>
      </c>
      <c r="AT150">
        <f>HYPERLINK("http://catalog.hathitrust.org/Record/003339494","HathiTrust Record")</f>
        <v/>
      </c>
      <c r="AU150">
        <f>HYPERLINK("https://creighton-primo.hosted.exlibrisgroup.com/primo-explore/search?tab=default_tab&amp;search_scope=EVERYTHING&amp;vid=01CRU&amp;lang=en_US&amp;offset=0&amp;query=any,contains,991001225709702656","Catalog Record")</f>
        <v/>
      </c>
      <c r="AV150">
        <f>HYPERLINK("http://www.worldcat.org/oclc/35714255","WorldCat Record")</f>
        <v/>
      </c>
      <c r="AW150" t="inlineStr">
        <is>
          <t>354933786:eng</t>
        </is>
      </c>
      <c r="AX150" t="inlineStr">
        <is>
          <t>35714255</t>
        </is>
      </c>
      <c r="AY150" t="inlineStr">
        <is>
          <t>991001225709702656</t>
        </is>
      </c>
      <c r="AZ150" t="inlineStr">
        <is>
          <t>991001225709702656</t>
        </is>
      </c>
      <c r="BA150" t="inlineStr">
        <is>
          <t>2255860980002656</t>
        </is>
      </c>
      <c r="BB150" t="inlineStr">
        <is>
          <t>BOOK</t>
        </is>
      </c>
      <c r="BD150" t="inlineStr">
        <is>
          <t>9780838503058</t>
        </is>
      </c>
      <c r="BE150" t="inlineStr">
        <is>
          <t>30001003669084</t>
        </is>
      </c>
      <c r="BF150" t="inlineStr">
        <is>
          <t>893374371</t>
        </is>
      </c>
    </row>
    <row r="151">
      <c r="A151" t="inlineStr">
        <is>
          <t>No</t>
        </is>
      </c>
      <c r="B151" t="inlineStr">
        <is>
          <t>CUHSL</t>
        </is>
      </c>
      <c r="C151" t="inlineStr">
        <is>
          <t>SHELVES</t>
        </is>
      </c>
      <c r="D151" t="inlineStr">
        <is>
          <t>W 18.2 A6495 1996</t>
        </is>
      </c>
      <c r="E151" t="inlineStr">
        <is>
          <t>0                      W  0018200A  6495        1996</t>
        </is>
      </c>
      <c r="F151" t="inlineStr">
        <is>
          <t>Appleton &amp; Lange's review for the USMLE step 2 / [edited by Robin J.O. Catlin].</t>
        </is>
      </c>
      <c r="H151" t="inlineStr">
        <is>
          <t>No</t>
        </is>
      </c>
      <c r="I151" t="inlineStr">
        <is>
          <t>1</t>
        </is>
      </c>
      <c r="J151" t="inlineStr">
        <is>
          <t>No</t>
        </is>
      </c>
      <c r="K151" t="inlineStr">
        <is>
          <t>No</t>
        </is>
      </c>
      <c r="L151" t="inlineStr">
        <is>
          <t>0</t>
        </is>
      </c>
      <c r="N151" t="inlineStr">
        <is>
          <t>Stamford, Conn. : Appleton &amp; Lange, c1996.</t>
        </is>
      </c>
      <c r="O151" t="inlineStr">
        <is>
          <t>1996</t>
        </is>
      </c>
      <c r="P151" t="inlineStr">
        <is>
          <t>2nd ed.</t>
        </is>
      </c>
      <c r="Q151" t="inlineStr">
        <is>
          <t>eng</t>
        </is>
      </c>
      <c r="R151" t="inlineStr">
        <is>
          <t>ctu</t>
        </is>
      </c>
      <c r="S151" t="inlineStr">
        <is>
          <t>A &amp; L review series</t>
        </is>
      </c>
      <c r="T151" t="inlineStr">
        <is>
          <t xml:space="preserve">W  </t>
        </is>
      </c>
      <c r="U151" t="n">
        <v>22</v>
      </c>
      <c r="V151" t="n">
        <v>22</v>
      </c>
      <c r="W151" t="inlineStr">
        <is>
          <t>2005-02-07</t>
        </is>
      </c>
      <c r="X151" t="inlineStr">
        <is>
          <t>2005-02-07</t>
        </is>
      </c>
      <c r="Y151" t="inlineStr">
        <is>
          <t>1997-08-29</t>
        </is>
      </c>
      <c r="Z151" t="inlineStr">
        <is>
          <t>1997-08-29</t>
        </is>
      </c>
      <c r="AA151" t="n">
        <v>85</v>
      </c>
      <c r="AB151" t="n">
        <v>56</v>
      </c>
      <c r="AC151" t="n">
        <v>287</v>
      </c>
      <c r="AD151" t="n">
        <v>1</v>
      </c>
      <c r="AE151" t="n">
        <v>3</v>
      </c>
      <c r="AF151" t="n">
        <v>0</v>
      </c>
      <c r="AG151" t="n">
        <v>8</v>
      </c>
      <c r="AH151" t="n">
        <v>0</v>
      </c>
      <c r="AI151" t="n">
        <v>3</v>
      </c>
      <c r="AJ151" t="n">
        <v>0</v>
      </c>
      <c r="AK151" t="n">
        <v>2</v>
      </c>
      <c r="AL151" t="n">
        <v>0</v>
      </c>
      <c r="AM151" t="n">
        <v>3</v>
      </c>
      <c r="AN151" t="n">
        <v>0</v>
      </c>
      <c r="AO151" t="n">
        <v>2</v>
      </c>
      <c r="AP151" t="n">
        <v>0</v>
      </c>
      <c r="AQ151" t="n">
        <v>0</v>
      </c>
      <c r="AR151" t="inlineStr">
        <is>
          <t>No</t>
        </is>
      </c>
      <c r="AS151" t="inlineStr">
        <is>
          <t>Yes</t>
        </is>
      </c>
      <c r="AT151">
        <f>HYPERLINK("http://catalog.hathitrust.org/Record/003339483","HathiTrust Record")</f>
        <v/>
      </c>
      <c r="AU151">
        <f>HYPERLINK("https://creighton-primo.hosted.exlibrisgroup.com/primo-explore/search?tab=default_tab&amp;search_scope=EVERYTHING&amp;vid=01CRU&amp;lang=en_US&amp;offset=0&amp;query=any,contains,991001268089702656","Catalog Record")</f>
        <v/>
      </c>
      <c r="AV151">
        <f>HYPERLINK("http://www.worldcat.org/oclc/33838222","WorldCat Record")</f>
        <v/>
      </c>
      <c r="AW151" t="inlineStr">
        <is>
          <t>55688020:eng</t>
        </is>
      </c>
      <c r="AX151" t="inlineStr">
        <is>
          <t>33838222</t>
        </is>
      </c>
      <c r="AY151" t="inlineStr">
        <is>
          <t>991001268089702656</t>
        </is>
      </c>
      <c r="AZ151" t="inlineStr">
        <is>
          <t>991001268089702656</t>
        </is>
      </c>
      <c r="BA151" t="inlineStr">
        <is>
          <t>2259445680002656</t>
        </is>
      </c>
      <c r="BB151" t="inlineStr">
        <is>
          <t>BOOK</t>
        </is>
      </c>
      <c r="BD151" t="inlineStr">
        <is>
          <t>9780838502662</t>
        </is>
      </c>
      <c r="BE151" t="inlineStr">
        <is>
          <t>30001003693902</t>
        </is>
      </c>
      <c r="BF151" t="inlineStr">
        <is>
          <t>893638165</t>
        </is>
      </c>
    </row>
    <row r="152">
      <c r="A152" t="inlineStr">
        <is>
          <t>No</t>
        </is>
      </c>
      <c r="B152" t="inlineStr">
        <is>
          <t>CUHSL</t>
        </is>
      </c>
      <c r="C152" t="inlineStr">
        <is>
          <t>SHELVES</t>
        </is>
      </c>
      <c r="D152" t="inlineStr">
        <is>
          <t>W 18.2 E33m 2000</t>
        </is>
      </c>
      <c r="E152" t="inlineStr">
        <is>
          <t>0                      W  0018200E  33m         2000</t>
        </is>
      </c>
      <c r="F152" t="inlineStr">
        <is>
          <t>Medical terminology for health professions / Ann Ehrlich, Carol L. Schroeder.</t>
        </is>
      </c>
      <c r="H152" t="inlineStr">
        <is>
          <t>No</t>
        </is>
      </c>
      <c r="I152" t="inlineStr">
        <is>
          <t>1</t>
        </is>
      </c>
      <c r="J152" t="inlineStr">
        <is>
          <t>No</t>
        </is>
      </c>
      <c r="K152" t="inlineStr">
        <is>
          <t>Yes</t>
        </is>
      </c>
      <c r="L152" t="inlineStr">
        <is>
          <t>0</t>
        </is>
      </c>
      <c r="N152" t="inlineStr">
        <is>
          <t>Albany, NY : Delmar Thomson Learning, 2000.</t>
        </is>
      </c>
      <c r="O152" t="inlineStr">
        <is>
          <t>2000</t>
        </is>
      </c>
      <c r="Q152" t="inlineStr">
        <is>
          <t>eng</t>
        </is>
      </c>
      <c r="R152" t="inlineStr">
        <is>
          <t>nyu</t>
        </is>
      </c>
      <c r="T152" t="inlineStr">
        <is>
          <t xml:space="preserve">W  </t>
        </is>
      </c>
      <c r="U152" t="n">
        <v>5</v>
      </c>
      <c r="V152" t="n">
        <v>5</v>
      </c>
      <c r="W152" t="inlineStr">
        <is>
          <t>2008-03-17</t>
        </is>
      </c>
      <c r="X152" t="inlineStr">
        <is>
          <t>2008-03-17</t>
        </is>
      </c>
      <c r="Y152" t="inlineStr">
        <is>
          <t>2003-06-19</t>
        </is>
      </c>
      <c r="Z152" t="inlineStr">
        <is>
          <t>2003-06-19</t>
        </is>
      </c>
      <c r="AA152" t="n">
        <v>177</v>
      </c>
      <c r="AB152" t="n">
        <v>143</v>
      </c>
      <c r="AC152" t="n">
        <v>873</v>
      </c>
      <c r="AD152" t="n">
        <v>1</v>
      </c>
      <c r="AE152" t="n">
        <v>4</v>
      </c>
      <c r="AF152" t="n">
        <v>2</v>
      </c>
      <c r="AG152" t="n">
        <v>11</v>
      </c>
      <c r="AH152" t="n">
        <v>1</v>
      </c>
      <c r="AI152" t="n">
        <v>3</v>
      </c>
      <c r="AJ152" t="n">
        <v>0</v>
      </c>
      <c r="AK152" t="n">
        <v>2</v>
      </c>
      <c r="AL152" t="n">
        <v>1</v>
      </c>
      <c r="AM152" t="n">
        <v>6</v>
      </c>
      <c r="AN152" t="n">
        <v>0</v>
      </c>
      <c r="AO152" t="n">
        <v>1</v>
      </c>
      <c r="AP152" t="n">
        <v>0</v>
      </c>
      <c r="AQ152" t="n">
        <v>0</v>
      </c>
      <c r="AR152" t="inlineStr">
        <is>
          <t>No</t>
        </is>
      </c>
      <c r="AS152" t="inlineStr">
        <is>
          <t>Yes</t>
        </is>
      </c>
      <c r="AT152">
        <f>HYPERLINK("http://catalog.hathitrust.org/Record/003538469","HathiTrust Record")</f>
        <v/>
      </c>
      <c r="AU152">
        <f>HYPERLINK("https://creighton-primo.hosted.exlibrisgroup.com/primo-explore/search?tab=default_tab&amp;search_scope=EVERYTHING&amp;vid=01CRU&amp;lang=en_US&amp;offset=0&amp;query=any,contains,991000351209702656","Catalog Record")</f>
        <v/>
      </c>
      <c r="AV152">
        <f>HYPERLINK("http://www.worldcat.org/oclc/46397444","WorldCat Record")</f>
        <v/>
      </c>
      <c r="AW152" t="inlineStr">
        <is>
          <t>629793:eng</t>
        </is>
      </c>
      <c r="AX152" t="inlineStr">
        <is>
          <t>46397444</t>
        </is>
      </c>
      <c r="AY152" t="inlineStr">
        <is>
          <t>991000351209702656</t>
        </is>
      </c>
      <c r="AZ152" t="inlineStr">
        <is>
          <t>991000351209702656</t>
        </is>
      </c>
      <c r="BA152" t="inlineStr">
        <is>
          <t>2270368420002656</t>
        </is>
      </c>
      <c r="BB152" t="inlineStr">
        <is>
          <t>BOOK</t>
        </is>
      </c>
      <c r="BD152" t="inlineStr">
        <is>
          <t>9780766812970</t>
        </is>
      </c>
      <c r="BE152" t="inlineStr">
        <is>
          <t>30001004650455</t>
        </is>
      </c>
      <c r="BF152" t="inlineStr">
        <is>
          <t>893447227</t>
        </is>
      </c>
    </row>
    <row r="153">
      <c r="A153" t="inlineStr">
        <is>
          <t>No</t>
        </is>
      </c>
      <c r="B153" t="inlineStr">
        <is>
          <t>CUHSL</t>
        </is>
      </c>
      <c r="C153" t="inlineStr">
        <is>
          <t>SHELVES</t>
        </is>
      </c>
      <c r="D153" t="inlineStr">
        <is>
          <t>W18.2 E33m 2005</t>
        </is>
      </c>
      <c r="E153" t="inlineStr">
        <is>
          <t>0                      W  0018200E  33m         2005</t>
        </is>
      </c>
      <c r="F153" t="inlineStr">
        <is>
          <t>Medical terminology for health professions / Ann Ehrlich, Carol L. Schroeder.</t>
        </is>
      </c>
      <c r="H153" t="inlineStr">
        <is>
          <t>No</t>
        </is>
      </c>
      <c r="I153" t="inlineStr">
        <is>
          <t>1</t>
        </is>
      </c>
      <c r="J153" t="inlineStr">
        <is>
          <t>No</t>
        </is>
      </c>
      <c r="K153" t="inlineStr">
        <is>
          <t>Yes</t>
        </is>
      </c>
      <c r="L153" t="inlineStr">
        <is>
          <t>0</t>
        </is>
      </c>
      <c r="M153" t="inlineStr">
        <is>
          <t>Ehrlich, Ann, 1938-</t>
        </is>
      </c>
      <c r="N153" t="inlineStr">
        <is>
          <t>Clifton Park, NY : Thomson/Delmar Learning, c2005.</t>
        </is>
      </c>
      <c r="O153" t="inlineStr">
        <is>
          <t>2005</t>
        </is>
      </c>
      <c r="P153" t="inlineStr">
        <is>
          <t>5th ed.</t>
        </is>
      </c>
      <c r="Q153" t="inlineStr">
        <is>
          <t>eng</t>
        </is>
      </c>
      <c r="R153" t="inlineStr">
        <is>
          <t>nyu</t>
        </is>
      </c>
      <c r="T153" t="inlineStr">
        <is>
          <t xml:space="preserve">W  </t>
        </is>
      </c>
      <c r="U153" t="n">
        <v>74</v>
      </c>
      <c r="V153" t="n">
        <v>74</v>
      </c>
      <c r="W153" t="inlineStr">
        <is>
          <t>2010-01-28</t>
        </is>
      </c>
      <c r="X153" t="inlineStr">
        <is>
          <t>2010-01-28</t>
        </is>
      </c>
      <c r="Y153" t="inlineStr">
        <is>
          <t>2005-08-24</t>
        </is>
      </c>
      <c r="Z153" t="inlineStr">
        <is>
          <t>2005-08-24</t>
        </is>
      </c>
      <c r="AA153" t="n">
        <v>178</v>
      </c>
      <c r="AB153" t="n">
        <v>146</v>
      </c>
      <c r="AC153" t="n">
        <v>873</v>
      </c>
      <c r="AD153" t="n">
        <v>1</v>
      </c>
      <c r="AE153" t="n">
        <v>4</v>
      </c>
      <c r="AF153" t="n">
        <v>2</v>
      </c>
      <c r="AG153" t="n">
        <v>11</v>
      </c>
      <c r="AH153" t="n">
        <v>1</v>
      </c>
      <c r="AI153" t="n">
        <v>3</v>
      </c>
      <c r="AJ153" t="n">
        <v>1</v>
      </c>
      <c r="AK153" t="n">
        <v>2</v>
      </c>
      <c r="AL153" t="n">
        <v>1</v>
      </c>
      <c r="AM153" t="n">
        <v>6</v>
      </c>
      <c r="AN153" t="n">
        <v>0</v>
      </c>
      <c r="AO153" t="n">
        <v>1</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HYPERLINK("https://creighton-primo.hosted.exlibrisgroup.com/primo-explore/search?tab=default_tab&amp;search_scope=EVERYTHING&amp;vid=01CRU&amp;lang=en_US&amp;offset=0&amp;query=any,contains,991000443199702656","Catalog Record")</f>
        <v/>
      </c>
      <c r="AV153">
        <f>HYPERLINK("http://www.worldcat.org/oclc/55502628","WorldCat Record")</f>
        <v/>
      </c>
      <c r="AW153" t="inlineStr">
        <is>
          <t>629793:eng</t>
        </is>
      </c>
      <c r="AX153" t="inlineStr">
        <is>
          <t>55502628</t>
        </is>
      </c>
      <c r="AY153" t="inlineStr">
        <is>
          <t>991000443199702656</t>
        </is>
      </c>
      <c r="AZ153" t="inlineStr">
        <is>
          <t>991000443199702656</t>
        </is>
      </c>
      <c r="BA153" t="inlineStr">
        <is>
          <t>2268329960002656</t>
        </is>
      </c>
      <c r="BB153" t="inlineStr">
        <is>
          <t>BOOK</t>
        </is>
      </c>
      <c r="BD153" t="inlineStr">
        <is>
          <t>9781401860264</t>
        </is>
      </c>
      <c r="BE153" t="inlineStr">
        <is>
          <t>30001004910255</t>
        </is>
      </c>
      <c r="BF153" t="inlineStr">
        <is>
          <t>893811511</t>
        </is>
      </c>
    </row>
    <row r="154">
      <c r="A154" t="inlineStr">
        <is>
          <t>No</t>
        </is>
      </c>
      <c r="B154" t="inlineStr">
        <is>
          <t>CUHSL</t>
        </is>
      </c>
      <c r="C154" t="inlineStr">
        <is>
          <t>SHELVES</t>
        </is>
      </c>
      <c r="D154" t="inlineStr">
        <is>
          <t>W18.2 F527m 2002</t>
        </is>
      </c>
      <c r="E154" t="inlineStr">
        <is>
          <t>0                      W  0018200F  527m        2002</t>
        </is>
      </c>
      <c r="F154" t="inlineStr">
        <is>
          <t>First aid for the medicine clerkship : the student to student guide / series editors, Latha G. Stead, S. Matthew Stead, Matthew S. Kaufman, title editor, Barbara G. Lock ; supervising editor and contributing author, Samy I. McFarlane.</t>
        </is>
      </c>
      <c r="H154" t="inlineStr">
        <is>
          <t>No</t>
        </is>
      </c>
      <c r="I154" t="inlineStr">
        <is>
          <t>1</t>
        </is>
      </c>
      <c r="J154" t="inlineStr">
        <is>
          <t>No</t>
        </is>
      </c>
      <c r="K154" t="inlineStr">
        <is>
          <t>No</t>
        </is>
      </c>
      <c r="L154" t="inlineStr">
        <is>
          <t>0</t>
        </is>
      </c>
      <c r="N154" t="inlineStr">
        <is>
          <t>New York : McGraw-Hill/Medical Pub. Division, c2002.</t>
        </is>
      </c>
      <c r="O154" t="inlineStr">
        <is>
          <t>2002</t>
        </is>
      </c>
      <c r="Q154" t="inlineStr">
        <is>
          <t>eng</t>
        </is>
      </c>
      <c r="R154" t="inlineStr">
        <is>
          <t>nyu</t>
        </is>
      </c>
      <c r="T154" t="inlineStr">
        <is>
          <t xml:space="preserve">W  </t>
        </is>
      </c>
      <c r="U154" t="n">
        <v>16</v>
      </c>
      <c r="V154" t="n">
        <v>16</v>
      </c>
      <c r="W154" t="inlineStr">
        <is>
          <t>2008-01-24</t>
        </is>
      </c>
      <c r="X154" t="inlineStr">
        <is>
          <t>2008-01-24</t>
        </is>
      </c>
      <c r="Y154" t="inlineStr">
        <is>
          <t>2003-12-11</t>
        </is>
      </c>
      <c r="Z154" t="inlineStr">
        <is>
          <t>2003-12-11</t>
        </is>
      </c>
      <c r="AA154" t="n">
        <v>64</v>
      </c>
      <c r="AB154" t="n">
        <v>52</v>
      </c>
      <c r="AC154" t="n">
        <v>165</v>
      </c>
      <c r="AD154" t="n">
        <v>1</v>
      </c>
      <c r="AE154" t="n">
        <v>2</v>
      </c>
      <c r="AF154" t="n">
        <v>0</v>
      </c>
      <c r="AG154" t="n">
        <v>5</v>
      </c>
      <c r="AH154" t="n">
        <v>0</v>
      </c>
      <c r="AI154" t="n">
        <v>1</v>
      </c>
      <c r="AJ154" t="n">
        <v>0</v>
      </c>
      <c r="AK154" t="n">
        <v>2</v>
      </c>
      <c r="AL154" t="n">
        <v>0</v>
      </c>
      <c r="AM154" t="n">
        <v>2</v>
      </c>
      <c r="AN154" t="n">
        <v>0</v>
      </c>
      <c r="AO154" t="n">
        <v>1</v>
      </c>
      <c r="AP154" t="n">
        <v>0</v>
      </c>
      <c r="AQ154" t="n">
        <v>0</v>
      </c>
      <c r="AR154" t="inlineStr">
        <is>
          <t>No</t>
        </is>
      </c>
      <c r="AS154" t="inlineStr">
        <is>
          <t>No</t>
        </is>
      </c>
      <c r="AU154">
        <f>HYPERLINK("https://creighton-primo.hosted.exlibrisgroup.com/primo-explore/search?tab=default_tab&amp;search_scope=EVERYTHING&amp;vid=01CRU&amp;lang=en_US&amp;offset=0&amp;query=any,contains,991000361599702656","Catalog Record")</f>
        <v/>
      </c>
      <c r="AV154">
        <f>HYPERLINK("http://www.worldcat.org/oclc/45880284","WorldCat Record")</f>
        <v/>
      </c>
      <c r="AW154" t="inlineStr">
        <is>
          <t>3901301183:eng</t>
        </is>
      </c>
      <c r="AX154" t="inlineStr">
        <is>
          <t>45880284</t>
        </is>
      </c>
      <c r="AY154" t="inlineStr">
        <is>
          <t>991000361599702656</t>
        </is>
      </c>
      <c r="AZ154" t="inlineStr">
        <is>
          <t>991000361599702656</t>
        </is>
      </c>
      <c r="BA154" t="inlineStr">
        <is>
          <t>2268088800002656</t>
        </is>
      </c>
      <c r="BB154" t="inlineStr">
        <is>
          <t>BOOK</t>
        </is>
      </c>
      <c r="BD154" t="inlineStr">
        <is>
          <t>9780071364218</t>
        </is>
      </c>
      <c r="BE154" t="inlineStr">
        <is>
          <t>30001004507895</t>
        </is>
      </c>
      <c r="BF154" t="inlineStr">
        <is>
          <t>893354247</t>
        </is>
      </c>
    </row>
    <row r="155">
      <c r="A155" t="inlineStr">
        <is>
          <t>No</t>
        </is>
      </c>
      <c r="B155" t="inlineStr">
        <is>
          <t>CUHSL</t>
        </is>
      </c>
      <c r="C155" t="inlineStr">
        <is>
          <t>SHELVES</t>
        </is>
      </c>
      <c r="D155" t="inlineStr">
        <is>
          <t>W 18.2 L164E 2005</t>
        </is>
      </c>
      <c r="E155" t="inlineStr">
        <is>
          <t>0                      W  0018200L  164E        2005</t>
        </is>
      </c>
      <c r="F155" t="inlineStr">
        <is>
          <t>Exploring medical language : a student-directed approach / Myrna LaFleur Brooks.</t>
        </is>
      </c>
      <c r="H155" t="inlineStr">
        <is>
          <t>No</t>
        </is>
      </c>
      <c r="I155" t="inlineStr">
        <is>
          <t>1</t>
        </is>
      </c>
      <c r="J155" t="inlineStr">
        <is>
          <t>Yes</t>
        </is>
      </c>
      <c r="K155" t="inlineStr">
        <is>
          <t>Yes</t>
        </is>
      </c>
      <c r="L155" t="inlineStr">
        <is>
          <t>0</t>
        </is>
      </c>
      <c r="M155" t="inlineStr">
        <is>
          <t>LaFleur-Brooks, Myrna.</t>
        </is>
      </c>
      <c r="N155" t="inlineStr">
        <is>
          <t>St. Louis : Elsevier Mosby, c2005.</t>
        </is>
      </c>
      <c r="O155" t="inlineStr">
        <is>
          <t>2005</t>
        </is>
      </c>
      <c r="P155" t="inlineStr">
        <is>
          <t>6th ed.</t>
        </is>
      </c>
      <c r="Q155" t="inlineStr">
        <is>
          <t>eng</t>
        </is>
      </c>
      <c r="R155" t="inlineStr">
        <is>
          <t>mou</t>
        </is>
      </c>
      <c r="T155" t="inlineStr">
        <is>
          <t xml:space="preserve">W  </t>
        </is>
      </c>
      <c r="U155" t="n">
        <v>2</v>
      </c>
      <c r="V155" t="n">
        <v>5</v>
      </c>
      <c r="W155" t="inlineStr">
        <is>
          <t>2010-11-21</t>
        </is>
      </c>
      <c r="X155" t="inlineStr">
        <is>
          <t>2010-11-21</t>
        </is>
      </c>
      <c r="Y155" t="inlineStr">
        <is>
          <t>2006-10-02</t>
        </is>
      </c>
      <c r="Z155" t="inlineStr">
        <is>
          <t>2006-10-02</t>
        </is>
      </c>
      <c r="AA155" t="n">
        <v>126</v>
      </c>
      <c r="AB155" t="n">
        <v>100</v>
      </c>
      <c r="AC155" t="n">
        <v>663</v>
      </c>
      <c r="AD155" t="n">
        <v>1</v>
      </c>
      <c r="AE155" t="n">
        <v>4</v>
      </c>
      <c r="AF155" t="n">
        <v>1</v>
      </c>
      <c r="AG155" t="n">
        <v>11</v>
      </c>
      <c r="AH155" t="n">
        <v>0</v>
      </c>
      <c r="AI155" t="n">
        <v>2</v>
      </c>
      <c r="AJ155" t="n">
        <v>0</v>
      </c>
      <c r="AK155" t="n">
        <v>3</v>
      </c>
      <c r="AL155" t="n">
        <v>1</v>
      </c>
      <c r="AM155" t="n">
        <v>6</v>
      </c>
      <c r="AN155" t="n">
        <v>0</v>
      </c>
      <c r="AO155" t="n">
        <v>3</v>
      </c>
      <c r="AP155" t="n">
        <v>0</v>
      </c>
      <c r="AQ155" t="n">
        <v>0</v>
      </c>
      <c r="AR155" t="inlineStr">
        <is>
          <t>No</t>
        </is>
      </c>
      <c r="AS155" t="inlineStr">
        <is>
          <t>Yes</t>
        </is>
      </c>
      <c r="AT155">
        <f>HYPERLINK("http://catalog.hathitrust.org/Record/005615101","HathiTrust Record")</f>
        <v/>
      </c>
      <c r="AU155">
        <f>HYPERLINK("https://creighton-primo.hosted.exlibrisgroup.com/primo-explore/search?tab=default_tab&amp;search_scope=EVERYTHING&amp;vid=01CRU&amp;lang=en_US&amp;offset=0&amp;query=any,contains,991001737249702656","Catalog Record")</f>
        <v/>
      </c>
      <c r="AV155">
        <f>HYPERLINK("http://www.worldcat.org/oclc/58731708","WorldCat Record")</f>
        <v/>
      </c>
      <c r="AW155" t="inlineStr">
        <is>
          <t>796408741:eng</t>
        </is>
      </c>
      <c r="AX155" t="inlineStr">
        <is>
          <t>58731708</t>
        </is>
      </c>
      <c r="AY155" t="inlineStr">
        <is>
          <t>991001737249702656</t>
        </is>
      </c>
      <c r="AZ155" t="inlineStr">
        <is>
          <t>991001737249702656</t>
        </is>
      </c>
      <c r="BA155" t="inlineStr">
        <is>
          <t>2263113510002656</t>
        </is>
      </c>
      <c r="BB155" t="inlineStr">
        <is>
          <t>BOOK</t>
        </is>
      </c>
      <c r="BD155" t="inlineStr">
        <is>
          <t>9780323028059</t>
        </is>
      </c>
      <c r="BE155" t="inlineStr">
        <is>
          <t>30001005176203</t>
        </is>
      </c>
      <c r="BF155" t="inlineStr">
        <is>
          <t>893268722</t>
        </is>
      </c>
    </row>
    <row r="156">
      <c r="A156" t="inlineStr">
        <is>
          <t>No</t>
        </is>
      </c>
      <c r="B156" t="inlineStr">
        <is>
          <t>CUHSL</t>
        </is>
      </c>
      <c r="C156" t="inlineStr">
        <is>
          <t>SHELVES</t>
        </is>
      </c>
      <c r="D156" t="inlineStr">
        <is>
          <t>W18.2 L164E 2005</t>
        </is>
      </c>
      <c r="E156" t="inlineStr">
        <is>
          <t>0                      W  0018200L  164E        2005</t>
        </is>
      </c>
      <c r="F156" t="inlineStr">
        <is>
          <t>Exploring medical language : a student-directed approach / Myrna LaFleur Brooks.</t>
        </is>
      </c>
      <c r="H156" t="inlineStr">
        <is>
          <t>No</t>
        </is>
      </c>
      <c r="I156" t="inlineStr">
        <is>
          <t>1</t>
        </is>
      </c>
      <c r="J156" t="inlineStr">
        <is>
          <t>Yes</t>
        </is>
      </c>
      <c r="K156" t="inlineStr">
        <is>
          <t>Yes</t>
        </is>
      </c>
      <c r="L156" t="inlineStr">
        <is>
          <t>0</t>
        </is>
      </c>
      <c r="M156" t="inlineStr">
        <is>
          <t>LaFleur-Brooks, Myrna.</t>
        </is>
      </c>
      <c r="N156" t="inlineStr">
        <is>
          <t>St. Louis : Elsevier Mosby, c2005.</t>
        </is>
      </c>
      <c r="O156" t="inlineStr">
        <is>
          <t>2005</t>
        </is>
      </c>
      <c r="P156" t="inlineStr">
        <is>
          <t>6th ed.</t>
        </is>
      </c>
      <c r="Q156" t="inlineStr">
        <is>
          <t>eng</t>
        </is>
      </c>
      <c r="R156" t="inlineStr">
        <is>
          <t>mou</t>
        </is>
      </c>
      <c r="T156" t="inlineStr">
        <is>
          <t xml:space="preserve">W  </t>
        </is>
      </c>
      <c r="U156" t="n">
        <v>3</v>
      </c>
      <c r="V156" t="n">
        <v>5</v>
      </c>
      <c r="W156" t="inlineStr">
        <is>
          <t>2010-11-21</t>
        </is>
      </c>
      <c r="X156" t="inlineStr">
        <is>
          <t>2010-11-21</t>
        </is>
      </c>
      <c r="Y156" t="inlineStr">
        <is>
          <t>2006-09-28</t>
        </is>
      </c>
      <c r="Z156" t="inlineStr">
        <is>
          <t>2006-10-02</t>
        </is>
      </c>
      <c r="AA156" t="n">
        <v>126</v>
      </c>
      <c r="AB156" t="n">
        <v>100</v>
      </c>
      <c r="AC156" t="n">
        <v>663</v>
      </c>
      <c r="AD156" t="n">
        <v>1</v>
      </c>
      <c r="AE156" t="n">
        <v>4</v>
      </c>
      <c r="AF156" t="n">
        <v>1</v>
      </c>
      <c r="AG156" t="n">
        <v>11</v>
      </c>
      <c r="AH156" t="n">
        <v>0</v>
      </c>
      <c r="AI156" t="n">
        <v>2</v>
      </c>
      <c r="AJ156" t="n">
        <v>0</v>
      </c>
      <c r="AK156" t="n">
        <v>3</v>
      </c>
      <c r="AL156" t="n">
        <v>1</v>
      </c>
      <c r="AM156" t="n">
        <v>6</v>
      </c>
      <c r="AN156" t="n">
        <v>0</v>
      </c>
      <c r="AO156" t="n">
        <v>3</v>
      </c>
      <c r="AP156" t="n">
        <v>0</v>
      </c>
      <c r="AQ156" t="n">
        <v>0</v>
      </c>
      <c r="AR156" t="inlineStr">
        <is>
          <t>No</t>
        </is>
      </c>
      <c r="AS156" t="inlineStr">
        <is>
          <t>Yes</t>
        </is>
      </c>
      <c r="AT156">
        <f>HYPERLINK("http://catalog.hathitrust.org/Record/005615101","HathiTrust Record")</f>
        <v/>
      </c>
      <c r="AU156">
        <f>HYPERLINK("https://creighton-primo.hosted.exlibrisgroup.com/primo-explore/search?tab=default_tab&amp;search_scope=EVERYTHING&amp;vid=01CRU&amp;lang=en_US&amp;offset=0&amp;query=any,contains,991001737249702656","Catalog Record")</f>
        <v/>
      </c>
      <c r="AV156">
        <f>HYPERLINK("http://www.worldcat.org/oclc/58731708","WorldCat Record")</f>
        <v/>
      </c>
      <c r="AW156" t="inlineStr">
        <is>
          <t>796408741:eng</t>
        </is>
      </c>
      <c r="AX156" t="inlineStr">
        <is>
          <t>58731708</t>
        </is>
      </c>
      <c r="AY156" t="inlineStr">
        <is>
          <t>991001737249702656</t>
        </is>
      </c>
      <c r="AZ156" t="inlineStr">
        <is>
          <t>991001737249702656</t>
        </is>
      </c>
      <c r="BA156" t="inlineStr">
        <is>
          <t>2263113510002656</t>
        </is>
      </c>
      <c r="BB156" t="inlineStr">
        <is>
          <t>BOOK</t>
        </is>
      </c>
      <c r="BD156" t="inlineStr">
        <is>
          <t>9780323028059</t>
        </is>
      </c>
      <c r="BE156" t="inlineStr">
        <is>
          <t>30001005175767</t>
        </is>
      </c>
      <c r="BF156" t="inlineStr">
        <is>
          <t>893268721</t>
        </is>
      </c>
    </row>
    <row r="157">
      <c r="A157" t="inlineStr">
        <is>
          <t>No</t>
        </is>
      </c>
      <c r="B157" t="inlineStr">
        <is>
          <t>CUHSL</t>
        </is>
      </c>
      <c r="C157" t="inlineStr">
        <is>
          <t>SHELVES</t>
        </is>
      </c>
      <c r="D157" t="inlineStr">
        <is>
          <t>W 18.2 L581q 2011</t>
        </is>
      </c>
      <c r="E157" t="inlineStr">
        <is>
          <t>0                      W  0018200L  581q        2011</t>
        </is>
      </c>
      <c r="F157" t="inlineStr">
        <is>
          <t>Quick &amp; easy medical terminology / Peggy C. Leonard.</t>
        </is>
      </c>
      <c r="H157" t="inlineStr">
        <is>
          <t>No</t>
        </is>
      </c>
      <c r="I157" t="inlineStr">
        <is>
          <t>1</t>
        </is>
      </c>
      <c r="J157" t="inlineStr">
        <is>
          <t>No</t>
        </is>
      </c>
      <c r="K157" t="inlineStr">
        <is>
          <t>No</t>
        </is>
      </c>
      <c r="L157" t="inlineStr">
        <is>
          <t>0</t>
        </is>
      </c>
      <c r="M157" t="inlineStr">
        <is>
          <t>Leonard, Peggy C.</t>
        </is>
      </c>
      <c r="N157" t="inlineStr">
        <is>
          <t>Maryland Heights, MO : Saunders Elsevier, c2011.</t>
        </is>
      </c>
      <c r="O157" t="inlineStr">
        <is>
          <t>2011</t>
        </is>
      </c>
      <c r="P157" t="inlineStr">
        <is>
          <t>6th ed.</t>
        </is>
      </c>
      <c r="Q157" t="inlineStr">
        <is>
          <t>eng</t>
        </is>
      </c>
      <c r="R157" t="inlineStr">
        <is>
          <t>mou</t>
        </is>
      </c>
      <c r="T157" t="inlineStr">
        <is>
          <t xml:space="preserve">W  </t>
        </is>
      </c>
      <c r="U157" t="n">
        <v>0</v>
      </c>
      <c r="V157" t="n">
        <v>0</v>
      </c>
      <c r="W157" t="inlineStr">
        <is>
          <t>2010-10-07</t>
        </is>
      </c>
      <c r="X157" t="inlineStr">
        <is>
          <t>2010-10-07</t>
        </is>
      </c>
      <c r="Y157" t="inlineStr">
        <is>
          <t>2010-09-27</t>
        </is>
      </c>
      <c r="Z157" t="inlineStr">
        <is>
          <t>2010-09-27</t>
        </is>
      </c>
      <c r="AA157" t="n">
        <v>168</v>
      </c>
      <c r="AB157" t="n">
        <v>147</v>
      </c>
      <c r="AC157" t="n">
        <v>517</v>
      </c>
      <c r="AD157" t="n">
        <v>1</v>
      </c>
      <c r="AE157" t="n">
        <v>3</v>
      </c>
      <c r="AF157" t="n">
        <v>2</v>
      </c>
      <c r="AG157" t="n">
        <v>7</v>
      </c>
      <c r="AH157" t="n">
        <v>1</v>
      </c>
      <c r="AI157" t="n">
        <v>2</v>
      </c>
      <c r="AJ157" t="n">
        <v>1</v>
      </c>
      <c r="AK157" t="n">
        <v>2</v>
      </c>
      <c r="AL157" t="n">
        <v>1</v>
      </c>
      <c r="AM157" t="n">
        <v>2</v>
      </c>
      <c r="AN157" t="n">
        <v>0</v>
      </c>
      <c r="AO157" t="n">
        <v>2</v>
      </c>
      <c r="AP157" t="n">
        <v>0</v>
      </c>
      <c r="AQ157" t="n">
        <v>0</v>
      </c>
      <c r="AR157" t="inlineStr">
        <is>
          <t>No</t>
        </is>
      </c>
      <c r="AS157" t="inlineStr">
        <is>
          <t>Yes</t>
        </is>
      </c>
      <c r="AT157">
        <f>HYPERLINK("http://catalog.hathitrust.org/Record/012265597","HathiTrust Record")</f>
        <v/>
      </c>
      <c r="AU157">
        <f>HYPERLINK("https://creighton-primo.hosted.exlibrisgroup.com/primo-explore/search?tab=default_tab&amp;search_scope=EVERYTHING&amp;vid=01CRU&amp;lang=en_US&amp;offset=0&amp;query=any,contains,991000042519702656","Catalog Record")</f>
        <v/>
      </c>
      <c r="AV157">
        <f>HYPERLINK("http://www.worldcat.org/oclc/460057384","WorldCat Record")</f>
        <v/>
      </c>
      <c r="AW157" t="inlineStr">
        <is>
          <t>941182:eng</t>
        </is>
      </c>
      <c r="AX157" t="inlineStr">
        <is>
          <t>460057384</t>
        </is>
      </c>
      <c r="AY157" t="inlineStr">
        <is>
          <t>991000042519702656</t>
        </is>
      </c>
      <c r="AZ157" t="inlineStr">
        <is>
          <t>991000042519702656</t>
        </is>
      </c>
      <c r="BA157" t="inlineStr">
        <is>
          <t>2263552800002656</t>
        </is>
      </c>
      <c r="BB157" t="inlineStr">
        <is>
          <t>BOOK</t>
        </is>
      </c>
      <c r="BD157" t="inlineStr">
        <is>
          <t>9781437708387</t>
        </is>
      </c>
      <c r="BE157" t="inlineStr">
        <is>
          <t>30001005348067</t>
        </is>
      </c>
      <c r="BF157" t="inlineStr">
        <is>
          <t>893832695</t>
        </is>
      </c>
    </row>
    <row r="158">
      <c r="A158" t="inlineStr">
        <is>
          <t>No</t>
        </is>
      </c>
      <c r="B158" t="inlineStr">
        <is>
          <t>CUHSL</t>
        </is>
      </c>
      <c r="C158" t="inlineStr">
        <is>
          <t>SHELVES</t>
        </is>
      </c>
      <c r="D158" t="inlineStr">
        <is>
          <t>W 18.2 R452 2006</t>
        </is>
      </c>
      <c r="E158" t="inlineStr">
        <is>
          <t>0                      W  0018200R  452         2006</t>
        </is>
      </c>
      <c r="F158" t="inlineStr">
        <is>
          <t>Review for USMLE : United States medical licensing examination, step 1 / John S. Lazo, Bruce R. Pitt, Joseph C. Glorioso III.</t>
        </is>
      </c>
      <c r="H158" t="inlineStr">
        <is>
          <t>No</t>
        </is>
      </c>
      <c r="I158" t="inlineStr">
        <is>
          <t>1</t>
        </is>
      </c>
      <c r="J158" t="inlineStr">
        <is>
          <t>No</t>
        </is>
      </c>
      <c r="K158" t="inlineStr">
        <is>
          <t>No</t>
        </is>
      </c>
      <c r="L158" t="inlineStr">
        <is>
          <t>0</t>
        </is>
      </c>
      <c r="M158" t="inlineStr">
        <is>
          <t>Lazo, John S.</t>
        </is>
      </c>
      <c r="N158" t="inlineStr">
        <is>
          <t>Philadelphia : Lippincott Williams &amp; Wilkins, c2006.</t>
        </is>
      </c>
      <c r="O158" t="inlineStr">
        <is>
          <t>2006</t>
        </is>
      </c>
      <c r="P158" t="inlineStr">
        <is>
          <t>7th ed.</t>
        </is>
      </c>
      <c r="Q158" t="inlineStr">
        <is>
          <t>eng</t>
        </is>
      </c>
      <c r="R158" t="inlineStr">
        <is>
          <t>pau</t>
        </is>
      </c>
      <c r="S158" t="inlineStr">
        <is>
          <t>National medical series for independent study</t>
        </is>
      </c>
      <c r="T158" t="inlineStr">
        <is>
          <t xml:space="preserve">W  </t>
        </is>
      </c>
      <c r="U158" t="n">
        <v>3</v>
      </c>
      <c r="V158" t="n">
        <v>3</v>
      </c>
      <c r="W158" t="inlineStr">
        <is>
          <t>2009-01-13</t>
        </is>
      </c>
      <c r="X158" t="inlineStr">
        <is>
          <t>2009-01-13</t>
        </is>
      </c>
      <c r="Y158" t="inlineStr">
        <is>
          <t>2008-08-11</t>
        </is>
      </c>
      <c r="Z158" t="inlineStr">
        <is>
          <t>2008-08-11</t>
        </is>
      </c>
      <c r="AA158" t="n">
        <v>102</v>
      </c>
      <c r="AB158" t="n">
        <v>77</v>
      </c>
      <c r="AC158" t="n">
        <v>178</v>
      </c>
      <c r="AD158" t="n">
        <v>1</v>
      </c>
      <c r="AE158" t="n">
        <v>1</v>
      </c>
      <c r="AF158" t="n">
        <v>2</v>
      </c>
      <c r="AG158" t="n">
        <v>5</v>
      </c>
      <c r="AH158" t="n">
        <v>1</v>
      </c>
      <c r="AI158" t="n">
        <v>2</v>
      </c>
      <c r="AJ158" t="n">
        <v>1</v>
      </c>
      <c r="AK158" t="n">
        <v>3</v>
      </c>
      <c r="AL158" t="n">
        <v>1</v>
      </c>
      <c r="AM158" t="n">
        <v>1</v>
      </c>
      <c r="AN158" t="n">
        <v>0</v>
      </c>
      <c r="AO158" t="n">
        <v>0</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HYPERLINK("https://creighton-primo.hosted.exlibrisgroup.com/primo-explore/search?tab=default_tab&amp;search_scope=EVERYTHING&amp;vid=01CRU&amp;lang=en_US&amp;offset=0&amp;query=any,contains,991000907449702656","Catalog Record")</f>
        <v/>
      </c>
      <c r="AV158">
        <f>HYPERLINK("http://www.worldcat.org/oclc/61167797","WorldCat Record")</f>
        <v/>
      </c>
      <c r="AW158" t="inlineStr">
        <is>
          <t>836915930:eng</t>
        </is>
      </c>
      <c r="AX158" t="inlineStr">
        <is>
          <t>61167797</t>
        </is>
      </c>
      <c r="AY158" t="inlineStr">
        <is>
          <t>991000907449702656</t>
        </is>
      </c>
      <c r="AZ158" t="inlineStr">
        <is>
          <t>991000907449702656</t>
        </is>
      </c>
      <c r="BA158" t="inlineStr">
        <is>
          <t>2265265440002656</t>
        </is>
      </c>
      <c r="BB158" t="inlineStr">
        <is>
          <t>BOOK</t>
        </is>
      </c>
      <c r="BD158" t="inlineStr">
        <is>
          <t>9780781779210</t>
        </is>
      </c>
      <c r="BE158" t="inlineStr">
        <is>
          <t>30001005294543</t>
        </is>
      </c>
      <c r="BF158" t="inlineStr">
        <is>
          <t>893834483</t>
        </is>
      </c>
    </row>
    <row r="159">
      <c r="A159" t="inlineStr">
        <is>
          <t>No</t>
        </is>
      </c>
      <c r="B159" t="inlineStr">
        <is>
          <t>CUHSL</t>
        </is>
      </c>
      <c r="C159" t="inlineStr">
        <is>
          <t>SHELVES</t>
        </is>
      </c>
      <c r="D159" t="inlineStr">
        <is>
          <t>W 18.2 R454 1999</t>
        </is>
      </c>
      <c r="E159" t="inlineStr">
        <is>
          <t>0                      W  0018200R  454         1999</t>
        </is>
      </c>
      <c r="F159" t="inlineStr">
        <is>
          <t>Review for USMLE : United States medical licensing examination, step 2 / developed by National Medical School Review.</t>
        </is>
      </c>
      <c r="H159" t="inlineStr">
        <is>
          <t>No</t>
        </is>
      </c>
      <c r="I159" t="inlineStr">
        <is>
          <t>1</t>
        </is>
      </c>
      <c r="J159" t="inlineStr">
        <is>
          <t>No</t>
        </is>
      </c>
      <c r="K159" t="inlineStr">
        <is>
          <t>No</t>
        </is>
      </c>
      <c r="L159" t="inlineStr">
        <is>
          <t>0</t>
        </is>
      </c>
      <c r="N159" t="inlineStr">
        <is>
          <t>Philadelphia : Lippincott Williams &amp; Wilkins, c1999.</t>
        </is>
      </c>
      <c r="O159" t="inlineStr">
        <is>
          <t>1999</t>
        </is>
      </c>
      <c r="P159" t="inlineStr">
        <is>
          <t>2nd ed.</t>
        </is>
      </c>
      <c r="Q159" t="inlineStr">
        <is>
          <t>eng</t>
        </is>
      </c>
      <c r="R159" t="inlineStr">
        <is>
          <t>pau</t>
        </is>
      </c>
      <c r="S159" t="inlineStr">
        <is>
          <t>The National medical series for independent study</t>
        </is>
      </c>
      <c r="T159" t="inlineStr">
        <is>
          <t xml:space="preserve">W  </t>
        </is>
      </c>
      <c r="U159" t="n">
        <v>26</v>
      </c>
      <c r="V159" t="n">
        <v>26</v>
      </c>
      <c r="W159" t="inlineStr">
        <is>
          <t>2007-05-07</t>
        </is>
      </c>
      <c r="X159" t="inlineStr">
        <is>
          <t>2007-05-07</t>
        </is>
      </c>
      <c r="Y159" t="inlineStr">
        <is>
          <t>2002-07-13</t>
        </is>
      </c>
      <c r="Z159" t="inlineStr">
        <is>
          <t>2002-07-13</t>
        </is>
      </c>
      <c r="AA159" t="n">
        <v>118</v>
      </c>
      <c r="AB159" t="n">
        <v>77</v>
      </c>
      <c r="AC159" t="n">
        <v>82</v>
      </c>
      <c r="AD159" t="n">
        <v>1</v>
      </c>
      <c r="AE159" t="n">
        <v>1</v>
      </c>
      <c r="AF159" t="n">
        <v>4</v>
      </c>
      <c r="AG159" t="n">
        <v>4</v>
      </c>
      <c r="AH159" t="n">
        <v>0</v>
      </c>
      <c r="AI159" t="n">
        <v>0</v>
      </c>
      <c r="AJ159" t="n">
        <v>2</v>
      </c>
      <c r="AK159" t="n">
        <v>2</v>
      </c>
      <c r="AL159" t="n">
        <v>3</v>
      </c>
      <c r="AM159" t="n">
        <v>3</v>
      </c>
      <c r="AN159" t="n">
        <v>0</v>
      </c>
      <c r="AO159" t="n">
        <v>0</v>
      </c>
      <c r="AP159" t="n">
        <v>0</v>
      </c>
      <c r="AQ159" t="n">
        <v>0</v>
      </c>
      <c r="AR159" t="inlineStr">
        <is>
          <t>No</t>
        </is>
      </c>
      <c r="AS159" t="inlineStr">
        <is>
          <t>No</t>
        </is>
      </c>
      <c r="AU159">
        <f>HYPERLINK("https://creighton-primo.hosted.exlibrisgroup.com/primo-explore/search?tab=default_tab&amp;search_scope=EVERYTHING&amp;vid=01CRU&amp;lang=en_US&amp;offset=0&amp;query=any,contains,991000325329702656","Catalog Record")</f>
        <v/>
      </c>
      <c r="AV159">
        <f>HYPERLINK("http://www.worldcat.org/oclc/39764102","WorldCat Record")</f>
        <v/>
      </c>
      <c r="AW159" t="inlineStr">
        <is>
          <t>908311221:eng</t>
        </is>
      </c>
      <c r="AX159" t="inlineStr">
        <is>
          <t>39764102</t>
        </is>
      </c>
      <c r="AY159" t="inlineStr">
        <is>
          <t>991000325329702656</t>
        </is>
      </c>
      <c r="AZ159" t="inlineStr">
        <is>
          <t>991000325329702656</t>
        </is>
      </c>
      <c r="BA159" t="inlineStr">
        <is>
          <t>22101747570002656</t>
        </is>
      </c>
      <c r="BB159" t="inlineStr">
        <is>
          <t>BOOK</t>
        </is>
      </c>
      <c r="BD159" t="inlineStr">
        <is>
          <t>9780683302837</t>
        </is>
      </c>
      <c r="BE159" t="inlineStr">
        <is>
          <t>30001004447910</t>
        </is>
      </c>
      <c r="BF159" t="inlineStr">
        <is>
          <t>893447192</t>
        </is>
      </c>
    </row>
    <row r="160">
      <c r="A160" t="inlineStr">
        <is>
          <t>No</t>
        </is>
      </c>
      <c r="B160" t="inlineStr">
        <is>
          <t>CUHSL</t>
        </is>
      </c>
      <c r="C160" t="inlineStr">
        <is>
          <t>SHELVES</t>
        </is>
      </c>
      <c r="D160" t="inlineStr">
        <is>
          <t>W 18.2 R454 2007</t>
        </is>
      </c>
      <c r="E160" t="inlineStr">
        <is>
          <t>0                      W  0018200R  454         2007</t>
        </is>
      </c>
      <c r="F160" t="inlineStr">
        <is>
          <t>Review for USMLE : United States medical licensing examination step, step 2 CK / editor, Kenneth Ibsen ; co-editor, Nandan Bhatt.</t>
        </is>
      </c>
      <c r="H160" t="inlineStr">
        <is>
          <t>No</t>
        </is>
      </c>
      <c r="I160" t="inlineStr">
        <is>
          <t>1</t>
        </is>
      </c>
      <c r="J160" t="inlineStr">
        <is>
          <t>No</t>
        </is>
      </c>
      <c r="K160" t="inlineStr">
        <is>
          <t>No</t>
        </is>
      </c>
      <c r="L160" t="inlineStr">
        <is>
          <t>0</t>
        </is>
      </c>
      <c r="N160" t="inlineStr">
        <is>
          <t>Philadelphia : Lippincott, Williams &amp; Wilkins, c2007.</t>
        </is>
      </c>
      <c r="O160" t="inlineStr">
        <is>
          <t>2007</t>
        </is>
      </c>
      <c r="P160" t="inlineStr">
        <is>
          <t>3rd ed.</t>
        </is>
      </c>
      <c r="Q160" t="inlineStr">
        <is>
          <t>eng</t>
        </is>
      </c>
      <c r="R160" t="inlineStr">
        <is>
          <t>pau</t>
        </is>
      </c>
      <c r="S160" t="inlineStr">
        <is>
          <t>National medical series for independent study</t>
        </is>
      </c>
      <c r="T160" t="inlineStr">
        <is>
          <t xml:space="preserve">W  </t>
        </is>
      </c>
      <c r="U160" t="n">
        <v>9</v>
      </c>
      <c r="V160" t="n">
        <v>9</v>
      </c>
      <c r="W160" t="inlineStr">
        <is>
          <t>2010-03-13</t>
        </is>
      </c>
      <c r="X160" t="inlineStr">
        <is>
          <t>2010-03-13</t>
        </is>
      </c>
      <c r="Y160" t="inlineStr">
        <is>
          <t>2008-08-11</t>
        </is>
      </c>
      <c r="Z160" t="inlineStr">
        <is>
          <t>2008-08-11</t>
        </is>
      </c>
      <c r="AA160" t="n">
        <v>68</v>
      </c>
      <c r="AB160" t="n">
        <v>53</v>
      </c>
      <c r="AC160" t="n">
        <v>53</v>
      </c>
      <c r="AD160" t="n">
        <v>1</v>
      </c>
      <c r="AE160" t="n">
        <v>1</v>
      </c>
      <c r="AF160" t="n">
        <v>1</v>
      </c>
      <c r="AG160" t="n">
        <v>1</v>
      </c>
      <c r="AH160" t="n">
        <v>1</v>
      </c>
      <c r="AI160" t="n">
        <v>1</v>
      </c>
      <c r="AJ160" t="n">
        <v>0</v>
      </c>
      <c r="AK160" t="n">
        <v>0</v>
      </c>
      <c r="AL160" t="n">
        <v>0</v>
      </c>
      <c r="AM160" t="n">
        <v>0</v>
      </c>
      <c r="AN160" t="n">
        <v>0</v>
      </c>
      <c r="AO160" t="n">
        <v>0</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HYPERLINK("https://creighton-primo.hosted.exlibrisgroup.com/primo-explore/search?tab=default_tab&amp;search_scope=EVERYTHING&amp;vid=01CRU&amp;lang=en_US&amp;offset=0&amp;query=any,contains,991000907409702656","Catalog Record")</f>
        <v/>
      </c>
      <c r="AV160">
        <f>HYPERLINK("http://www.worldcat.org/oclc/62342245","WorldCat Record")</f>
        <v/>
      </c>
      <c r="AW160" t="inlineStr">
        <is>
          <t>5616068249:eng</t>
        </is>
      </c>
      <c r="AX160" t="inlineStr">
        <is>
          <t>62342245</t>
        </is>
      </c>
      <c r="AY160" t="inlineStr">
        <is>
          <t>991000907409702656</t>
        </is>
      </c>
      <c r="AZ160" t="inlineStr">
        <is>
          <t>991000907409702656</t>
        </is>
      </c>
      <c r="BA160" t="inlineStr">
        <is>
          <t>2260249490002656</t>
        </is>
      </c>
      <c r="BB160" t="inlineStr">
        <is>
          <t>BOOK</t>
        </is>
      </c>
      <c r="BD160" t="inlineStr">
        <is>
          <t>9780781765220</t>
        </is>
      </c>
      <c r="BE160" t="inlineStr">
        <is>
          <t>30001005294311</t>
        </is>
      </c>
      <c r="BF160" t="inlineStr">
        <is>
          <t>893560765</t>
        </is>
      </c>
    </row>
    <row r="161">
      <c r="A161" t="inlineStr">
        <is>
          <t>No</t>
        </is>
      </c>
      <c r="B161" t="inlineStr">
        <is>
          <t>CUHSL</t>
        </is>
      </c>
      <c r="C161" t="inlineStr">
        <is>
          <t>SHELVES</t>
        </is>
      </c>
      <c r="D161" t="inlineStr">
        <is>
          <t>W18.2 R995 2001</t>
        </is>
      </c>
      <c r="E161" t="inlineStr">
        <is>
          <t>0                      W  0018200R  995         2001</t>
        </is>
      </c>
      <c r="F161" t="inlineStr">
        <is>
          <t>Rypins' basic sciences review.</t>
        </is>
      </c>
      <c r="H161" t="inlineStr">
        <is>
          <t>No</t>
        </is>
      </c>
      <c r="I161" t="inlineStr">
        <is>
          <t>1</t>
        </is>
      </c>
      <c r="J161" t="inlineStr">
        <is>
          <t>No</t>
        </is>
      </c>
      <c r="K161" t="inlineStr">
        <is>
          <t>No</t>
        </is>
      </c>
      <c r="L161" t="inlineStr">
        <is>
          <t>0</t>
        </is>
      </c>
      <c r="N161" t="inlineStr">
        <is>
          <t>Philadelphia : Lippincott Williams &amp; Wilkins, c2001.</t>
        </is>
      </c>
      <c r="O161" t="inlineStr">
        <is>
          <t>2001</t>
        </is>
      </c>
      <c r="P161" t="inlineStr">
        <is>
          <t>18th ed. / edited by Edward D. Frohlich.</t>
        </is>
      </c>
      <c r="Q161" t="inlineStr">
        <is>
          <t>eng</t>
        </is>
      </c>
      <c r="R161" t="inlineStr">
        <is>
          <t>pau</t>
        </is>
      </c>
      <c r="T161" t="inlineStr">
        <is>
          <t xml:space="preserve">W  </t>
        </is>
      </c>
      <c r="U161" t="n">
        <v>8</v>
      </c>
      <c r="V161" t="n">
        <v>8</v>
      </c>
      <c r="W161" t="inlineStr">
        <is>
          <t>2008-02-08</t>
        </is>
      </c>
      <c r="X161" t="inlineStr">
        <is>
          <t>2008-02-08</t>
        </is>
      </c>
      <c r="Y161" t="inlineStr">
        <is>
          <t>2001-10-25</t>
        </is>
      </c>
      <c r="Z161" t="inlineStr">
        <is>
          <t>2001-10-25</t>
        </is>
      </c>
      <c r="AA161" t="n">
        <v>116</v>
      </c>
      <c r="AB161" t="n">
        <v>83</v>
      </c>
      <c r="AC161" t="n">
        <v>83</v>
      </c>
      <c r="AD161" t="n">
        <v>1</v>
      </c>
      <c r="AE161" t="n">
        <v>1</v>
      </c>
      <c r="AF161" t="n">
        <v>1</v>
      </c>
      <c r="AG161" t="n">
        <v>1</v>
      </c>
      <c r="AH161" t="n">
        <v>0</v>
      </c>
      <c r="AI161" t="n">
        <v>0</v>
      </c>
      <c r="AJ161" t="n">
        <v>1</v>
      </c>
      <c r="AK161" t="n">
        <v>1</v>
      </c>
      <c r="AL161" t="n">
        <v>0</v>
      </c>
      <c r="AM161" t="n">
        <v>0</v>
      </c>
      <c r="AN161" t="n">
        <v>0</v>
      </c>
      <c r="AO161" t="n">
        <v>0</v>
      </c>
      <c r="AP161" t="n">
        <v>0</v>
      </c>
      <c r="AQ161" t="n">
        <v>0</v>
      </c>
      <c r="AR161" t="inlineStr">
        <is>
          <t>No</t>
        </is>
      </c>
      <c r="AS161" t="inlineStr">
        <is>
          <t>No</t>
        </is>
      </c>
      <c r="AU161">
        <f>HYPERLINK("https://creighton-primo.hosted.exlibrisgroup.com/primo-explore/search?tab=default_tab&amp;search_scope=EVERYTHING&amp;vid=01CRU&amp;lang=en_US&amp;offset=0&amp;query=any,contains,991000292089702656","Catalog Record")</f>
        <v/>
      </c>
      <c r="AV161">
        <f>HYPERLINK("http://www.worldcat.org/oclc/45661800","WorldCat Record")</f>
        <v/>
      </c>
      <c r="AW161" t="inlineStr">
        <is>
          <t>8908739366:eng</t>
        </is>
      </c>
      <c r="AX161" t="inlineStr">
        <is>
          <t>45661800</t>
        </is>
      </c>
      <c r="AY161" t="inlineStr">
        <is>
          <t>991000292089702656</t>
        </is>
      </c>
      <c r="AZ161" t="inlineStr">
        <is>
          <t>991000292089702656</t>
        </is>
      </c>
      <c r="BA161" t="inlineStr">
        <is>
          <t>2267791080002656</t>
        </is>
      </c>
      <c r="BB161" t="inlineStr">
        <is>
          <t>BOOK</t>
        </is>
      </c>
      <c r="BD161" t="inlineStr">
        <is>
          <t>9780781725187</t>
        </is>
      </c>
      <c r="BE161" t="inlineStr">
        <is>
          <t>30001004235521</t>
        </is>
      </c>
      <c r="BF161" t="inlineStr">
        <is>
          <t>893536984</t>
        </is>
      </c>
    </row>
    <row r="162">
      <c r="A162" t="inlineStr">
        <is>
          <t>No</t>
        </is>
      </c>
      <c r="B162" t="inlineStr">
        <is>
          <t>CUHSL</t>
        </is>
      </c>
      <c r="C162" t="inlineStr">
        <is>
          <t>SHELVES</t>
        </is>
      </c>
      <c r="D162" t="inlineStr">
        <is>
          <t>W 18.2 S216ca 2010</t>
        </is>
      </c>
      <c r="E162" t="inlineStr">
        <is>
          <t>0                      W  0018200S  216ca       2010</t>
        </is>
      </c>
      <c r="F162" t="inlineStr">
        <is>
          <t>Case studies for the medical office : Capstone billing simulation / Susan M. Sanderson.</t>
        </is>
      </c>
      <c r="H162" t="inlineStr">
        <is>
          <t>No</t>
        </is>
      </c>
      <c r="I162" t="inlineStr">
        <is>
          <t>1</t>
        </is>
      </c>
      <c r="J162" t="inlineStr">
        <is>
          <t>No</t>
        </is>
      </c>
      <c r="K162" t="inlineStr">
        <is>
          <t>No</t>
        </is>
      </c>
      <c r="L162" t="inlineStr">
        <is>
          <t>0</t>
        </is>
      </c>
      <c r="M162" t="inlineStr">
        <is>
          <t>Sanderson, Susan M.</t>
        </is>
      </c>
      <c r="N162" t="inlineStr">
        <is>
          <t>Boston : McGraw Hill Higher Education, c2010.</t>
        </is>
      </c>
      <c r="O162" t="inlineStr">
        <is>
          <t>2010</t>
        </is>
      </c>
      <c r="P162" t="inlineStr">
        <is>
          <t>5th ed.</t>
        </is>
      </c>
      <c r="Q162" t="inlineStr">
        <is>
          <t>eng</t>
        </is>
      </c>
      <c r="R162" t="inlineStr">
        <is>
          <t>mau</t>
        </is>
      </c>
      <c r="T162" t="inlineStr">
        <is>
          <t xml:space="preserve">W  </t>
        </is>
      </c>
      <c r="U162" t="n">
        <v>1</v>
      </c>
      <c r="V162" t="n">
        <v>1</v>
      </c>
      <c r="W162" t="inlineStr">
        <is>
          <t>2010-09-10</t>
        </is>
      </c>
      <c r="X162" t="inlineStr">
        <is>
          <t>2010-09-10</t>
        </is>
      </c>
      <c r="Y162" t="inlineStr">
        <is>
          <t>2010-09-10</t>
        </is>
      </c>
      <c r="Z162" t="inlineStr">
        <is>
          <t>2010-09-10</t>
        </is>
      </c>
      <c r="AA162" t="n">
        <v>24</v>
      </c>
      <c r="AB162" t="n">
        <v>20</v>
      </c>
      <c r="AC162" t="n">
        <v>27</v>
      </c>
      <c r="AD162" t="n">
        <v>1</v>
      </c>
      <c r="AE162" t="n">
        <v>1</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HYPERLINK("https://creighton-primo.hosted.exlibrisgroup.com/primo-explore/search?tab=default_tab&amp;search_scope=EVERYTHING&amp;vid=01CRU&amp;lang=en_US&amp;offset=0&amp;query=any,contains,991000031489702656","Catalog Record")</f>
        <v/>
      </c>
      <c r="AV162">
        <f>HYPERLINK("http://www.worldcat.org/oclc/276229008","WorldCat Record")</f>
        <v/>
      </c>
      <c r="AW162" t="inlineStr">
        <is>
          <t>159060810:eng</t>
        </is>
      </c>
      <c r="AX162" t="inlineStr">
        <is>
          <t>276229008</t>
        </is>
      </c>
      <c r="AY162" t="inlineStr">
        <is>
          <t>991000031489702656</t>
        </is>
      </c>
      <c r="AZ162" t="inlineStr">
        <is>
          <t>991000031489702656</t>
        </is>
      </c>
      <c r="BA162" t="inlineStr">
        <is>
          <t>2267185920002656</t>
        </is>
      </c>
      <c r="BB162" t="inlineStr">
        <is>
          <t>BOOK</t>
        </is>
      </c>
      <c r="BD162" t="inlineStr">
        <is>
          <t>9780073402000</t>
        </is>
      </c>
      <c r="BE162" t="inlineStr">
        <is>
          <t>30001005347655</t>
        </is>
      </c>
      <c r="BF162" t="inlineStr">
        <is>
          <t>893723107</t>
        </is>
      </c>
    </row>
    <row r="163">
      <c r="A163" t="inlineStr">
        <is>
          <t>No</t>
        </is>
      </c>
      <c r="B163" t="inlineStr">
        <is>
          <t>CUHSL</t>
        </is>
      </c>
      <c r="C163" t="inlineStr">
        <is>
          <t>SHELVES</t>
        </is>
      </c>
      <c r="D163" t="inlineStr">
        <is>
          <t>W 18.2 U86 2002</t>
        </is>
      </c>
      <c r="E163" t="inlineStr">
        <is>
          <t>0                      W  0018200U  86          2002</t>
        </is>
      </c>
      <c r="F163" t="inlineStr">
        <is>
          <t>USMLE step 1.</t>
        </is>
      </c>
      <c r="H163" t="inlineStr">
        <is>
          <t>No</t>
        </is>
      </c>
      <c r="I163" t="inlineStr">
        <is>
          <t>1</t>
        </is>
      </c>
      <c r="J163" t="inlineStr">
        <is>
          <t>No</t>
        </is>
      </c>
      <c r="K163" t="inlineStr">
        <is>
          <t>No</t>
        </is>
      </c>
      <c r="L163" t="inlineStr">
        <is>
          <t>0</t>
        </is>
      </c>
      <c r="N163" t="inlineStr">
        <is>
          <t>St. Louis, Mo. : Mosby, c2002.</t>
        </is>
      </c>
      <c r="O163" t="inlineStr">
        <is>
          <t>2002</t>
        </is>
      </c>
      <c r="Q163" t="inlineStr">
        <is>
          <t>eng</t>
        </is>
      </c>
      <c r="R163" t="inlineStr">
        <is>
          <t>mou</t>
        </is>
      </c>
      <c r="S163" t="inlineStr">
        <is>
          <t>Rapid review series</t>
        </is>
      </c>
      <c r="T163" t="inlineStr">
        <is>
          <t xml:space="preserve">W  </t>
        </is>
      </c>
      <c r="U163" t="n">
        <v>6</v>
      </c>
      <c r="V163" t="n">
        <v>6</v>
      </c>
      <c r="W163" t="inlineStr">
        <is>
          <t>2006-09-11</t>
        </is>
      </c>
      <c r="X163" t="inlineStr">
        <is>
          <t>2006-09-11</t>
        </is>
      </c>
      <c r="Y163" t="inlineStr">
        <is>
          <t>2003-01-10</t>
        </is>
      </c>
      <c r="Z163" t="inlineStr">
        <is>
          <t>2003-01-10</t>
        </is>
      </c>
      <c r="AA163" t="n">
        <v>37</v>
      </c>
      <c r="AB163" t="n">
        <v>28</v>
      </c>
      <c r="AC163" t="n">
        <v>28</v>
      </c>
      <c r="AD163" t="n">
        <v>1</v>
      </c>
      <c r="AE163" t="n">
        <v>1</v>
      </c>
      <c r="AF163" t="n">
        <v>1</v>
      </c>
      <c r="AG163" t="n">
        <v>1</v>
      </c>
      <c r="AH163" t="n">
        <v>1</v>
      </c>
      <c r="AI163" t="n">
        <v>1</v>
      </c>
      <c r="AJ163" t="n">
        <v>0</v>
      </c>
      <c r="AK163" t="n">
        <v>0</v>
      </c>
      <c r="AL163" t="n">
        <v>1</v>
      </c>
      <c r="AM163" t="n">
        <v>1</v>
      </c>
      <c r="AN163" t="n">
        <v>0</v>
      </c>
      <c r="AO163" t="n">
        <v>0</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HYPERLINK("https://creighton-primo.hosted.exlibrisgroup.com/primo-explore/search?tab=default_tab&amp;search_scope=EVERYTHING&amp;vid=01CRU&amp;lang=en_US&amp;offset=0&amp;query=any,contains,991000336109702656","Catalog Record")</f>
        <v/>
      </c>
      <c r="AV163">
        <f>HYPERLINK("http://www.worldcat.org/oclc/49550569","WorldCat Record")</f>
        <v/>
      </c>
      <c r="AW163" t="inlineStr">
        <is>
          <t>56805961:eng</t>
        </is>
      </c>
      <c r="AX163" t="inlineStr">
        <is>
          <t>49550569</t>
        </is>
      </c>
      <c r="AY163" t="inlineStr">
        <is>
          <t>991000336109702656</t>
        </is>
      </c>
      <c r="AZ163" t="inlineStr">
        <is>
          <t>991000336109702656</t>
        </is>
      </c>
      <c r="BA163" t="inlineStr">
        <is>
          <t>22101747560002656</t>
        </is>
      </c>
      <c r="BB163" t="inlineStr">
        <is>
          <t>BOOK</t>
        </is>
      </c>
      <c r="BD163" t="inlineStr">
        <is>
          <t>9780323008419</t>
        </is>
      </c>
      <c r="BE163" t="inlineStr">
        <is>
          <t>30001004501013</t>
        </is>
      </c>
      <c r="BF163" t="inlineStr">
        <is>
          <t>893109423</t>
        </is>
      </c>
    </row>
    <row r="164">
      <c r="A164" t="inlineStr">
        <is>
          <t>No</t>
        </is>
      </c>
      <c r="B164" t="inlineStr">
        <is>
          <t>CUHSL</t>
        </is>
      </c>
      <c r="C164" t="inlineStr">
        <is>
          <t>SHELVES</t>
        </is>
      </c>
      <c r="D164" t="inlineStr">
        <is>
          <t>W 19 B787c 1970</t>
        </is>
      </c>
      <c r="E164" t="inlineStr">
        <is>
          <t>0                      W  0019000B  787c        1970</t>
        </is>
      </c>
      <c r="F164" t="inlineStr">
        <is>
          <t>The story of medicine at Wake Forest University / by Coy C. Carpenter.</t>
        </is>
      </c>
      <c r="H164" t="inlineStr">
        <is>
          <t>No</t>
        </is>
      </c>
      <c r="I164" t="inlineStr">
        <is>
          <t>1</t>
        </is>
      </c>
      <c r="J164" t="inlineStr">
        <is>
          <t>No</t>
        </is>
      </c>
      <c r="K164" t="inlineStr">
        <is>
          <t>No</t>
        </is>
      </c>
      <c r="L164" t="inlineStr">
        <is>
          <t>0</t>
        </is>
      </c>
      <c r="M164" t="inlineStr">
        <is>
          <t>Carpenter, Coy Cornelius, 1900-1971.</t>
        </is>
      </c>
      <c r="N164" t="inlineStr">
        <is>
          <t>Chapel Hill : Univ. of North Carolina Press, [1970]</t>
        </is>
      </c>
      <c r="O164" t="inlineStr">
        <is>
          <t>1970</t>
        </is>
      </c>
      <c r="Q164" t="inlineStr">
        <is>
          <t>eng</t>
        </is>
      </c>
      <c r="R164" t="inlineStr">
        <is>
          <t>ncu</t>
        </is>
      </c>
      <c r="T164" t="inlineStr">
        <is>
          <t xml:space="preserve">W  </t>
        </is>
      </c>
      <c r="U164" t="n">
        <v>2</v>
      </c>
      <c r="V164" t="n">
        <v>2</v>
      </c>
      <c r="W164" t="inlineStr">
        <is>
          <t>1997-02-14</t>
        </is>
      </c>
      <c r="X164" t="inlineStr">
        <is>
          <t>1997-02-14</t>
        </is>
      </c>
      <c r="Y164" t="inlineStr">
        <is>
          <t>1987-10-08</t>
        </is>
      </c>
      <c r="Z164" t="inlineStr">
        <is>
          <t>1987-10-08</t>
        </is>
      </c>
      <c r="AA164" t="n">
        <v>209</v>
      </c>
      <c r="AB164" t="n">
        <v>199</v>
      </c>
      <c r="AC164" t="n">
        <v>206</v>
      </c>
      <c r="AD164" t="n">
        <v>1</v>
      </c>
      <c r="AE164" t="n">
        <v>1</v>
      </c>
      <c r="AF164" t="n">
        <v>1</v>
      </c>
      <c r="AG164" t="n">
        <v>1</v>
      </c>
      <c r="AH164" t="n">
        <v>0</v>
      </c>
      <c r="AI164" t="n">
        <v>0</v>
      </c>
      <c r="AJ164" t="n">
        <v>1</v>
      </c>
      <c r="AK164" t="n">
        <v>1</v>
      </c>
      <c r="AL164" t="n">
        <v>0</v>
      </c>
      <c r="AM164" t="n">
        <v>0</v>
      </c>
      <c r="AN164" t="n">
        <v>0</v>
      </c>
      <c r="AO164" t="n">
        <v>0</v>
      </c>
      <c r="AP164" t="n">
        <v>0</v>
      </c>
      <c r="AQ164" t="n">
        <v>0</v>
      </c>
      <c r="AR164" t="inlineStr">
        <is>
          <t>No</t>
        </is>
      </c>
      <c r="AS164" t="inlineStr">
        <is>
          <t>Yes</t>
        </is>
      </c>
      <c r="AT164">
        <f>HYPERLINK("http://catalog.hathitrust.org/Record/001558073","HathiTrust Record")</f>
        <v/>
      </c>
      <c r="AU164">
        <f>HYPERLINK("https://creighton-primo.hosted.exlibrisgroup.com/primo-explore/search?tab=default_tab&amp;search_scope=EVERYTHING&amp;vid=01CRU&amp;lang=en_US&amp;offset=0&amp;query=any,contains,991001171619702656","Catalog Record")</f>
        <v/>
      </c>
      <c r="AV164">
        <f>HYPERLINK("http://www.worldcat.org/oclc/108584","WorldCat Record")</f>
        <v/>
      </c>
      <c r="AW164" t="inlineStr">
        <is>
          <t>1197422:eng</t>
        </is>
      </c>
      <c r="AX164" t="inlineStr">
        <is>
          <t>108584</t>
        </is>
      </c>
      <c r="AY164" t="inlineStr">
        <is>
          <t>991001171619702656</t>
        </is>
      </c>
      <c r="AZ164" t="inlineStr">
        <is>
          <t>991001171619702656</t>
        </is>
      </c>
      <c r="BA164" t="inlineStr">
        <is>
          <t>2262486220002656</t>
        </is>
      </c>
      <c r="BB164" t="inlineStr">
        <is>
          <t>BOOK</t>
        </is>
      </c>
      <c r="BD164" t="inlineStr">
        <is>
          <t>9780807811504</t>
        </is>
      </c>
      <c r="BE164" t="inlineStr">
        <is>
          <t>30001000307241</t>
        </is>
      </c>
      <c r="BF164" t="inlineStr">
        <is>
          <t>893821016</t>
        </is>
      </c>
    </row>
    <row r="165">
      <c r="A165" t="inlineStr">
        <is>
          <t>No</t>
        </is>
      </c>
      <c r="B165" t="inlineStr">
        <is>
          <t>CUHSL</t>
        </is>
      </c>
      <c r="C165" t="inlineStr">
        <is>
          <t>SHELVES</t>
        </is>
      </c>
      <c r="D165" t="inlineStr">
        <is>
          <t>W 19 F491 1995</t>
        </is>
      </c>
      <c r="E165" t="inlineStr">
        <is>
          <t>0                      W  0019000F  491         1995</t>
        </is>
      </c>
      <c r="F165" t="inlineStr">
        <is>
          <t>The financing of medical schools in an era of health care reform : a conference sponsored by the Josiah Macy, Jr. Foundation / proceedings edited by Robert H. Ebert ; case studies edited by Miriam Ostow.</t>
        </is>
      </c>
      <c r="H165" t="inlineStr">
        <is>
          <t>No</t>
        </is>
      </c>
      <c r="I165" t="inlineStr">
        <is>
          <t>1</t>
        </is>
      </c>
      <c r="J165" t="inlineStr">
        <is>
          <t>No</t>
        </is>
      </c>
      <c r="K165" t="inlineStr">
        <is>
          <t>No</t>
        </is>
      </c>
      <c r="L165" t="inlineStr">
        <is>
          <t>0</t>
        </is>
      </c>
      <c r="N165" t="inlineStr">
        <is>
          <t>New York : Josiah Macy, Jr. Foundation, c1995.</t>
        </is>
      </c>
      <c r="O165" t="inlineStr">
        <is>
          <t>1995</t>
        </is>
      </c>
      <c r="Q165" t="inlineStr">
        <is>
          <t>eng</t>
        </is>
      </c>
      <c r="R165" t="inlineStr">
        <is>
          <t>nyu</t>
        </is>
      </c>
      <c r="T165" t="inlineStr">
        <is>
          <t xml:space="preserve">W  </t>
        </is>
      </c>
      <c r="U165" t="n">
        <v>2</v>
      </c>
      <c r="V165" t="n">
        <v>2</v>
      </c>
      <c r="W165" t="inlineStr">
        <is>
          <t>1996-11-12</t>
        </is>
      </c>
      <c r="X165" t="inlineStr">
        <is>
          <t>1996-11-12</t>
        </is>
      </c>
      <c r="Y165" t="inlineStr">
        <is>
          <t>1995-11-16</t>
        </is>
      </c>
      <c r="Z165" t="inlineStr">
        <is>
          <t>1995-11-16</t>
        </is>
      </c>
      <c r="AA165" t="n">
        <v>99</v>
      </c>
      <c r="AB165" t="n">
        <v>95</v>
      </c>
      <c r="AC165" t="n">
        <v>101</v>
      </c>
      <c r="AD165" t="n">
        <v>1</v>
      </c>
      <c r="AE165" t="n">
        <v>1</v>
      </c>
      <c r="AF165" t="n">
        <v>2</v>
      </c>
      <c r="AG165" t="n">
        <v>2</v>
      </c>
      <c r="AH165" t="n">
        <v>0</v>
      </c>
      <c r="AI165" t="n">
        <v>0</v>
      </c>
      <c r="AJ165" t="n">
        <v>1</v>
      </c>
      <c r="AK165" t="n">
        <v>1</v>
      </c>
      <c r="AL165" t="n">
        <v>2</v>
      </c>
      <c r="AM165" t="n">
        <v>2</v>
      </c>
      <c r="AN165" t="n">
        <v>0</v>
      </c>
      <c r="AO165" t="n">
        <v>0</v>
      </c>
      <c r="AP165" t="n">
        <v>0</v>
      </c>
      <c r="AQ165" t="n">
        <v>0</v>
      </c>
      <c r="AR165" t="inlineStr">
        <is>
          <t>No</t>
        </is>
      </c>
      <c r="AS165" t="inlineStr">
        <is>
          <t>Yes</t>
        </is>
      </c>
      <c r="AT165">
        <f>HYPERLINK("http://catalog.hathitrust.org/Record/003143803","HathiTrust Record")</f>
        <v/>
      </c>
      <c r="AU165">
        <f>HYPERLINK("https://creighton-primo.hosted.exlibrisgroup.com/primo-explore/search?tab=default_tab&amp;search_scope=EVERYTHING&amp;vid=01CRU&amp;lang=en_US&amp;offset=0&amp;query=any,contains,991001496629702656","Catalog Record")</f>
        <v/>
      </c>
      <c r="AV165">
        <f>HYPERLINK("http://www.worldcat.org/oclc/33337635","WorldCat Record")</f>
        <v/>
      </c>
      <c r="AW165" t="inlineStr">
        <is>
          <t>475541680:eng</t>
        </is>
      </c>
      <c r="AX165" t="inlineStr">
        <is>
          <t>33337635</t>
        </is>
      </c>
      <c r="AY165" t="inlineStr">
        <is>
          <t>991001496629702656</t>
        </is>
      </c>
      <c r="AZ165" t="inlineStr">
        <is>
          <t>991001496629702656</t>
        </is>
      </c>
      <c r="BA165" t="inlineStr">
        <is>
          <t>2257381000002656</t>
        </is>
      </c>
      <c r="BB165" t="inlineStr">
        <is>
          <t>BOOK</t>
        </is>
      </c>
      <c r="BE165" t="inlineStr">
        <is>
          <t>30001003261643</t>
        </is>
      </c>
      <c r="BF165" t="inlineStr">
        <is>
          <t>893558028</t>
        </is>
      </c>
    </row>
    <row r="166">
      <c r="A166" t="inlineStr">
        <is>
          <t>No</t>
        </is>
      </c>
      <c r="B166" t="inlineStr">
        <is>
          <t>CUHSL</t>
        </is>
      </c>
      <c r="C166" t="inlineStr">
        <is>
          <t>SHELVES</t>
        </is>
      </c>
      <c r="D166" t="inlineStr">
        <is>
          <t>W 19 H636w 1985</t>
        </is>
      </c>
      <c r="E166" t="inlineStr">
        <is>
          <t>0                      W  0019000H  636w        1985</t>
        </is>
      </c>
      <c r="F166" t="inlineStr">
        <is>
          <t>Women and minorities on U.S. medical school faculties, 1985 / Elizabeth J. Higgins.</t>
        </is>
      </c>
      <c r="H166" t="inlineStr">
        <is>
          <t>No</t>
        </is>
      </c>
      <c r="I166" t="inlineStr">
        <is>
          <t>1</t>
        </is>
      </c>
      <c r="J166" t="inlineStr">
        <is>
          <t>No</t>
        </is>
      </c>
      <c r="K166" t="inlineStr">
        <is>
          <t>No</t>
        </is>
      </c>
      <c r="L166" t="inlineStr">
        <is>
          <t>0</t>
        </is>
      </c>
      <c r="M166" t="inlineStr">
        <is>
          <t>Higgins, Elizabeth J.</t>
        </is>
      </c>
      <c r="N166" t="inlineStr">
        <is>
          <t>Washington : Division of Operational Studies, Department of Planning and Policy Development, Association of American Medical Colleges, c1986.</t>
        </is>
      </c>
      <c r="O166" t="inlineStr">
        <is>
          <t>1986</t>
        </is>
      </c>
      <c r="Q166" t="inlineStr">
        <is>
          <t>eng</t>
        </is>
      </c>
      <c r="R166" t="inlineStr">
        <is>
          <t>dcu</t>
        </is>
      </c>
      <c r="T166" t="inlineStr">
        <is>
          <t xml:space="preserve">W  </t>
        </is>
      </c>
      <c r="U166" t="n">
        <v>3</v>
      </c>
      <c r="V166" t="n">
        <v>3</v>
      </c>
      <c r="W166" t="inlineStr">
        <is>
          <t>1990-03-22</t>
        </is>
      </c>
      <c r="X166" t="inlineStr">
        <is>
          <t>1990-03-22</t>
        </is>
      </c>
      <c r="Y166" t="inlineStr">
        <is>
          <t>1989-11-10</t>
        </is>
      </c>
      <c r="Z166" t="inlineStr">
        <is>
          <t>1989-11-10</t>
        </is>
      </c>
      <c r="AA166" t="n">
        <v>16</v>
      </c>
      <c r="AB166" t="n">
        <v>16</v>
      </c>
      <c r="AC166" t="n">
        <v>18</v>
      </c>
      <c r="AD166" t="n">
        <v>1</v>
      </c>
      <c r="AE166" t="n">
        <v>1</v>
      </c>
      <c r="AF166" t="n">
        <v>0</v>
      </c>
      <c r="AG166" t="n">
        <v>0</v>
      </c>
      <c r="AH166" t="n">
        <v>0</v>
      </c>
      <c r="AI166" t="n">
        <v>0</v>
      </c>
      <c r="AJ166" t="n">
        <v>0</v>
      </c>
      <c r="AK166" t="n">
        <v>0</v>
      </c>
      <c r="AL166" t="n">
        <v>0</v>
      </c>
      <c r="AM166" t="n">
        <v>0</v>
      </c>
      <c r="AN166" t="n">
        <v>0</v>
      </c>
      <c r="AO166" t="n">
        <v>0</v>
      </c>
      <c r="AP166" t="n">
        <v>0</v>
      </c>
      <c r="AQ166" t="n">
        <v>0</v>
      </c>
      <c r="AR166" t="inlineStr">
        <is>
          <t>No</t>
        </is>
      </c>
      <c r="AS166" t="inlineStr">
        <is>
          <t>Yes</t>
        </is>
      </c>
      <c r="AT166">
        <f>HYPERLINK("http://catalog.hathitrust.org/Record/010517316","HathiTrust Record")</f>
        <v/>
      </c>
      <c r="AU166">
        <f>HYPERLINK("https://creighton-primo.hosted.exlibrisgroup.com/primo-explore/search?tab=default_tab&amp;search_scope=EVERYTHING&amp;vid=01CRU&amp;lang=en_US&amp;offset=0&amp;query=any,contains,991001326369702656","Catalog Record")</f>
        <v/>
      </c>
      <c r="AV166">
        <f>HYPERLINK("http://www.worldcat.org/oclc/14177751","WorldCat Record")</f>
        <v/>
      </c>
      <c r="AW166" t="inlineStr">
        <is>
          <t>7494465:eng</t>
        </is>
      </c>
      <c r="AX166" t="inlineStr">
        <is>
          <t>14177751</t>
        </is>
      </c>
      <c r="AY166" t="inlineStr">
        <is>
          <t>991001326369702656</t>
        </is>
      </c>
      <c r="AZ166" t="inlineStr">
        <is>
          <t>991001326369702656</t>
        </is>
      </c>
      <c r="BA166" t="inlineStr">
        <is>
          <t>2267701780002656</t>
        </is>
      </c>
      <c r="BB166" t="inlineStr">
        <is>
          <t>BOOK</t>
        </is>
      </c>
      <c r="BE166" t="inlineStr">
        <is>
          <t>30001001754946</t>
        </is>
      </c>
      <c r="BF166" t="inlineStr">
        <is>
          <t>893727459</t>
        </is>
      </c>
    </row>
    <row r="167">
      <c r="A167" t="inlineStr">
        <is>
          <t>No</t>
        </is>
      </c>
      <c r="B167" t="inlineStr">
        <is>
          <t>CUHSL</t>
        </is>
      </c>
      <c r="C167" t="inlineStr">
        <is>
          <t>SHELVES</t>
        </is>
      </c>
      <c r="D167" t="inlineStr">
        <is>
          <t>W 19 J655c 1957</t>
        </is>
      </c>
      <c r="E167" t="inlineStr">
        <is>
          <t>0                      W  0019000J  655c        1957</t>
        </is>
      </c>
      <c r="F167" t="inlineStr">
        <is>
          <t>Halsted of Johns Hopkins : the man and his men / Samuel Crowe.</t>
        </is>
      </c>
      <c r="H167" t="inlineStr">
        <is>
          <t>No</t>
        </is>
      </c>
      <c r="I167" t="inlineStr">
        <is>
          <t>1</t>
        </is>
      </c>
      <c r="J167" t="inlineStr">
        <is>
          <t>No</t>
        </is>
      </c>
      <c r="K167" t="inlineStr">
        <is>
          <t>No</t>
        </is>
      </c>
      <c r="L167" t="inlineStr">
        <is>
          <t>0</t>
        </is>
      </c>
      <c r="M167" t="inlineStr">
        <is>
          <t>Crowe, Samuel James, 1883-1955.</t>
        </is>
      </c>
      <c r="N167" t="inlineStr">
        <is>
          <t>Springfield, IL : Thomas, [1957]</t>
        </is>
      </c>
      <c r="O167" t="inlineStr">
        <is>
          <t>1957</t>
        </is>
      </c>
      <c r="Q167" t="inlineStr">
        <is>
          <t>eng</t>
        </is>
      </c>
      <c r="R167" t="inlineStr">
        <is>
          <t>ilu</t>
        </is>
      </c>
      <c r="T167" t="inlineStr">
        <is>
          <t xml:space="preserve">W  </t>
        </is>
      </c>
      <c r="U167" t="n">
        <v>4</v>
      </c>
      <c r="V167" t="n">
        <v>4</v>
      </c>
      <c r="W167" t="inlineStr">
        <is>
          <t>1991-10-01</t>
        </is>
      </c>
      <c r="X167" t="inlineStr">
        <is>
          <t>1991-10-01</t>
        </is>
      </c>
      <c r="Y167" t="inlineStr">
        <is>
          <t>1987-10-08</t>
        </is>
      </c>
      <c r="Z167" t="inlineStr">
        <is>
          <t>1987-10-08</t>
        </is>
      </c>
      <c r="AA167" t="n">
        <v>184</v>
      </c>
      <c r="AB167" t="n">
        <v>160</v>
      </c>
      <c r="AC167" t="n">
        <v>169</v>
      </c>
      <c r="AD167" t="n">
        <v>1</v>
      </c>
      <c r="AE167" t="n">
        <v>1</v>
      </c>
      <c r="AF167" t="n">
        <v>2</v>
      </c>
      <c r="AG167" t="n">
        <v>2</v>
      </c>
      <c r="AH167" t="n">
        <v>1</v>
      </c>
      <c r="AI167" t="n">
        <v>1</v>
      </c>
      <c r="AJ167" t="n">
        <v>0</v>
      </c>
      <c r="AK167" t="n">
        <v>0</v>
      </c>
      <c r="AL167" t="n">
        <v>1</v>
      </c>
      <c r="AM167" t="n">
        <v>1</v>
      </c>
      <c r="AN167" t="n">
        <v>0</v>
      </c>
      <c r="AO167" t="n">
        <v>0</v>
      </c>
      <c r="AP167" t="n">
        <v>0</v>
      </c>
      <c r="AQ167" t="n">
        <v>0</v>
      </c>
      <c r="AR167" t="inlineStr">
        <is>
          <t>Yes</t>
        </is>
      </c>
      <c r="AS167" t="inlineStr">
        <is>
          <t>No</t>
        </is>
      </c>
      <c r="AT167">
        <f>HYPERLINK("http://catalog.hathitrust.org/Record/001557250","HathiTrust Record")</f>
        <v/>
      </c>
      <c r="AU167">
        <f>HYPERLINK("https://creighton-primo.hosted.exlibrisgroup.com/primo-explore/search?tab=default_tab&amp;search_scope=EVERYTHING&amp;vid=01CRU&amp;lang=en_US&amp;offset=0&amp;query=any,contains,991001172039702656","Catalog Record")</f>
        <v/>
      </c>
      <c r="AV167">
        <f>HYPERLINK("http://www.worldcat.org/oclc/3191287","WorldCat Record")</f>
        <v/>
      </c>
      <c r="AW167" t="inlineStr">
        <is>
          <t>8920387:eng</t>
        </is>
      </c>
      <c r="AX167" t="inlineStr">
        <is>
          <t>3191287</t>
        </is>
      </c>
      <c r="AY167" t="inlineStr">
        <is>
          <t>991001172039702656</t>
        </is>
      </c>
      <c r="AZ167" t="inlineStr">
        <is>
          <t>991001172039702656</t>
        </is>
      </c>
      <c r="BA167" t="inlineStr">
        <is>
          <t>2254820010002656</t>
        </is>
      </c>
      <c r="BB167" t="inlineStr">
        <is>
          <t>BOOK</t>
        </is>
      </c>
      <c r="BE167" t="inlineStr">
        <is>
          <t>30001000307308</t>
        </is>
      </c>
      <c r="BF167" t="inlineStr">
        <is>
          <t>893460323</t>
        </is>
      </c>
    </row>
    <row r="168">
      <c r="A168" t="inlineStr">
        <is>
          <t>No</t>
        </is>
      </c>
      <c r="B168" t="inlineStr">
        <is>
          <t>CUHSL</t>
        </is>
      </c>
      <c r="C168" t="inlineStr">
        <is>
          <t>SHELVES</t>
        </is>
      </c>
      <c r="D168" t="inlineStr">
        <is>
          <t>W19 M481m 2003</t>
        </is>
      </c>
      <c r="E168" t="inlineStr">
        <is>
          <t>0                      W  0019000M  481m        2003</t>
        </is>
      </c>
      <c r="F168" t="inlineStr">
        <is>
          <t>Med school : a collection of stories about medical school, 1951-1955 / Clifton K. Meador.</t>
        </is>
      </c>
      <c r="H168" t="inlineStr">
        <is>
          <t>No</t>
        </is>
      </c>
      <c r="I168" t="inlineStr">
        <is>
          <t>1</t>
        </is>
      </c>
      <c r="J168" t="inlineStr">
        <is>
          <t>No</t>
        </is>
      </c>
      <c r="K168" t="inlineStr">
        <is>
          <t>No</t>
        </is>
      </c>
      <c r="L168" t="inlineStr">
        <is>
          <t>0</t>
        </is>
      </c>
      <c r="M168" t="inlineStr">
        <is>
          <t>Meador, Clifton K., 1931-</t>
        </is>
      </c>
      <c r="N168" t="inlineStr">
        <is>
          <t>Franklin, Tenn. : Hillsboro Press, c2003.</t>
        </is>
      </c>
      <c r="O168" t="inlineStr">
        <is>
          <t>2003</t>
        </is>
      </c>
      <c r="Q168" t="inlineStr">
        <is>
          <t>eng</t>
        </is>
      </c>
      <c r="R168" t="inlineStr">
        <is>
          <t>tnu</t>
        </is>
      </c>
      <c r="T168" t="inlineStr">
        <is>
          <t xml:space="preserve">W  </t>
        </is>
      </c>
      <c r="U168" t="n">
        <v>2</v>
      </c>
      <c r="V168" t="n">
        <v>2</v>
      </c>
      <c r="W168" t="inlineStr">
        <is>
          <t>2008-09-10</t>
        </is>
      </c>
      <c r="X168" t="inlineStr">
        <is>
          <t>2008-09-10</t>
        </is>
      </c>
      <c r="Y168" t="inlineStr">
        <is>
          <t>2004-09-27</t>
        </is>
      </c>
      <c r="Z168" t="inlineStr">
        <is>
          <t>2004-09-27</t>
        </is>
      </c>
      <c r="AA168" t="n">
        <v>50</v>
      </c>
      <c r="AB168" t="n">
        <v>47</v>
      </c>
      <c r="AC168" t="n">
        <v>47</v>
      </c>
      <c r="AD168" t="n">
        <v>1</v>
      </c>
      <c r="AE168" t="n">
        <v>1</v>
      </c>
      <c r="AF168" t="n">
        <v>1</v>
      </c>
      <c r="AG168" t="n">
        <v>1</v>
      </c>
      <c r="AH168" t="n">
        <v>1</v>
      </c>
      <c r="AI168" t="n">
        <v>1</v>
      </c>
      <c r="AJ168" t="n">
        <v>0</v>
      </c>
      <c r="AK168" t="n">
        <v>0</v>
      </c>
      <c r="AL168" t="n">
        <v>0</v>
      </c>
      <c r="AM168" t="n">
        <v>0</v>
      </c>
      <c r="AN168" t="n">
        <v>0</v>
      </c>
      <c r="AO168" t="n">
        <v>0</v>
      </c>
      <c r="AP168" t="n">
        <v>0</v>
      </c>
      <c r="AQ168" t="n">
        <v>0</v>
      </c>
      <c r="AR168" t="inlineStr">
        <is>
          <t>No</t>
        </is>
      </c>
      <c r="AS168" t="inlineStr">
        <is>
          <t>No</t>
        </is>
      </c>
      <c r="AU168">
        <f>HYPERLINK("https://creighton-primo.hosted.exlibrisgroup.com/primo-explore/search?tab=default_tab&amp;search_scope=EVERYTHING&amp;vid=01CRU&amp;lang=en_US&amp;offset=0&amp;query=any,contains,991000398189702656","Catalog Record")</f>
        <v/>
      </c>
      <c r="AV168">
        <f>HYPERLINK("http://www.worldcat.org/oclc/54058236","WorldCat Record")</f>
        <v/>
      </c>
      <c r="AW168" t="inlineStr">
        <is>
          <t>944109:eng</t>
        </is>
      </c>
      <c r="AX168" t="inlineStr">
        <is>
          <t>54058236</t>
        </is>
      </c>
      <c r="AY168" t="inlineStr">
        <is>
          <t>991000398189702656</t>
        </is>
      </c>
      <c r="AZ168" t="inlineStr">
        <is>
          <t>991000398189702656</t>
        </is>
      </c>
      <c r="BA168" t="inlineStr">
        <is>
          <t>2257253250002656</t>
        </is>
      </c>
      <c r="BB168" t="inlineStr">
        <is>
          <t>BOOK</t>
        </is>
      </c>
      <c r="BD168" t="inlineStr">
        <is>
          <t>9781577363118</t>
        </is>
      </c>
      <c r="BE168" t="inlineStr">
        <is>
          <t>30001004923126</t>
        </is>
      </c>
      <c r="BF168" t="inlineStr">
        <is>
          <t>893370449</t>
        </is>
      </c>
    </row>
    <row r="169">
      <c r="A169" t="inlineStr">
        <is>
          <t>No</t>
        </is>
      </c>
      <c r="B169" t="inlineStr">
        <is>
          <t>CUHSL</t>
        </is>
      </c>
      <c r="C169" t="inlineStr">
        <is>
          <t>SHELVES</t>
        </is>
      </c>
      <c r="D169" t="inlineStr">
        <is>
          <t>W 19 S367n 1984</t>
        </is>
      </c>
      <c r="E169" t="inlineStr">
        <is>
          <t>0                      W  0019000S  367n        1984</t>
        </is>
      </c>
      <c r="F169" t="inlineStr">
        <is>
          <t>New and expanded medical schools, mid-century to the 1980s / J.R. Schofield.</t>
        </is>
      </c>
      <c r="H169" t="inlineStr">
        <is>
          <t>No</t>
        </is>
      </c>
      <c r="I169" t="inlineStr">
        <is>
          <t>1</t>
        </is>
      </c>
      <c r="J169" t="inlineStr">
        <is>
          <t>No</t>
        </is>
      </c>
      <c r="K169" t="inlineStr">
        <is>
          <t>No</t>
        </is>
      </c>
      <c r="L169" t="inlineStr">
        <is>
          <t>0</t>
        </is>
      </c>
      <c r="M169" t="inlineStr">
        <is>
          <t>Schofield, J. R. (James R.)</t>
        </is>
      </c>
      <c r="N169" t="inlineStr">
        <is>
          <t>San Francisco : Jossey-Bass, c1984.</t>
        </is>
      </c>
      <c r="O169" t="inlineStr">
        <is>
          <t>1984</t>
        </is>
      </c>
      <c r="P169" t="inlineStr">
        <is>
          <t>1st ed.</t>
        </is>
      </c>
      <c r="Q169" t="inlineStr">
        <is>
          <t>eng</t>
        </is>
      </c>
      <c r="R169" t="inlineStr">
        <is>
          <t>xxu</t>
        </is>
      </c>
      <c r="S169" t="inlineStr">
        <is>
          <t>Association of American Medical Colleges series in academic medicine</t>
        </is>
      </c>
      <c r="T169" t="inlineStr">
        <is>
          <t xml:space="preserve">W  </t>
        </is>
      </c>
      <c r="U169" t="n">
        <v>3</v>
      </c>
      <c r="V169" t="n">
        <v>3</v>
      </c>
      <c r="W169" t="inlineStr">
        <is>
          <t>1990-07-19</t>
        </is>
      </c>
      <c r="X169" t="inlineStr">
        <is>
          <t>1990-07-19</t>
        </is>
      </c>
      <c r="Y169" t="inlineStr">
        <is>
          <t>1987-09-30</t>
        </is>
      </c>
      <c r="Z169" t="inlineStr">
        <is>
          <t>1987-09-30</t>
        </is>
      </c>
      <c r="AA169" t="n">
        <v>225</v>
      </c>
      <c r="AB169" t="n">
        <v>207</v>
      </c>
      <c r="AC169" t="n">
        <v>210</v>
      </c>
      <c r="AD169" t="n">
        <v>1</v>
      </c>
      <c r="AE169" t="n">
        <v>1</v>
      </c>
      <c r="AF169" t="n">
        <v>4</v>
      </c>
      <c r="AG169" t="n">
        <v>4</v>
      </c>
      <c r="AH169" t="n">
        <v>3</v>
      </c>
      <c r="AI169" t="n">
        <v>3</v>
      </c>
      <c r="AJ169" t="n">
        <v>0</v>
      </c>
      <c r="AK169" t="n">
        <v>0</v>
      </c>
      <c r="AL169" t="n">
        <v>1</v>
      </c>
      <c r="AM169" t="n">
        <v>1</v>
      </c>
      <c r="AN169" t="n">
        <v>0</v>
      </c>
      <c r="AO169" t="n">
        <v>0</v>
      </c>
      <c r="AP169" t="n">
        <v>0</v>
      </c>
      <c r="AQ169" t="n">
        <v>0</v>
      </c>
      <c r="AR169" t="inlineStr">
        <is>
          <t>No</t>
        </is>
      </c>
      <c r="AS169" t="inlineStr">
        <is>
          <t>Yes</t>
        </is>
      </c>
      <c r="AT169">
        <f>HYPERLINK("http://catalog.hathitrust.org/Record/000601380","HathiTrust Record")</f>
        <v/>
      </c>
      <c r="AU169">
        <f>HYPERLINK("https://creighton-primo.hosted.exlibrisgroup.com/primo-explore/search?tab=default_tab&amp;search_scope=EVERYTHING&amp;vid=01CRU&amp;lang=en_US&amp;offset=0&amp;query=any,contains,991001172549702656","Catalog Record")</f>
        <v/>
      </c>
      <c r="AV169">
        <f>HYPERLINK("http://www.worldcat.org/oclc/10850445","WorldCat Record")</f>
        <v/>
      </c>
      <c r="AW169" t="inlineStr">
        <is>
          <t>836668701:eng</t>
        </is>
      </c>
      <c r="AX169" t="inlineStr">
        <is>
          <t>10850445</t>
        </is>
      </c>
      <c r="AY169" t="inlineStr">
        <is>
          <t>991001172549702656</t>
        </is>
      </c>
      <c r="AZ169" t="inlineStr">
        <is>
          <t>991001172549702656</t>
        </is>
      </c>
      <c r="BA169" t="inlineStr">
        <is>
          <t>2262565610002656</t>
        </is>
      </c>
      <c r="BB169" t="inlineStr">
        <is>
          <t>BOOK</t>
        </is>
      </c>
      <c r="BD169" t="inlineStr">
        <is>
          <t>9780875896281</t>
        </is>
      </c>
      <c r="BE169" t="inlineStr">
        <is>
          <t>30001000307357</t>
        </is>
      </c>
      <c r="BF169" t="inlineStr">
        <is>
          <t>893826520</t>
        </is>
      </c>
    </row>
    <row r="170">
      <c r="A170" t="inlineStr">
        <is>
          <t>No</t>
        </is>
      </c>
      <c r="B170" t="inlineStr">
        <is>
          <t>CUHSL</t>
        </is>
      </c>
      <c r="C170" t="inlineStr">
        <is>
          <t>SHELVES</t>
        </is>
      </c>
      <c r="D170" t="inlineStr">
        <is>
          <t>W 19 S963m</t>
        </is>
      </c>
      <c r="E170" t="inlineStr">
        <is>
          <t>0                      W  0019000S  963m</t>
        </is>
      </c>
      <c r="F170" t="inlineStr">
        <is>
          <t>Medical schools in the United States at mid-century / John E. Deitrick [director] and Robert C. Berson [associate director]</t>
        </is>
      </c>
      <c r="H170" t="inlineStr">
        <is>
          <t>No</t>
        </is>
      </c>
      <c r="I170" t="inlineStr">
        <is>
          <t>1</t>
        </is>
      </c>
      <c r="J170" t="inlineStr">
        <is>
          <t>No</t>
        </is>
      </c>
      <c r="K170" t="inlineStr">
        <is>
          <t>No</t>
        </is>
      </c>
      <c r="L170" t="inlineStr">
        <is>
          <t>0</t>
        </is>
      </c>
      <c r="M170" t="inlineStr">
        <is>
          <t>Survey of Medical Education.</t>
        </is>
      </c>
      <c r="N170" t="inlineStr">
        <is>
          <t>Evanston, IL : Association of American Medical Colleges, 1960 [c1953]</t>
        </is>
      </c>
      <c r="O170" t="inlineStr">
        <is>
          <t>1960</t>
        </is>
      </c>
      <c r="Q170" t="inlineStr">
        <is>
          <t>eng</t>
        </is>
      </c>
      <c r="R170" t="inlineStr">
        <is>
          <t>ilu</t>
        </is>
      </c>
      <c r="T170" t="inlineStr">
        <is>
          <t xml:space="preserve">W  </t>
        </is>
      </c>
      <c r="U170" t="n">
        <v>1</v>
      </c>
      <c r="V170" t="n">
        <v>1</v>
      </c>
      <c r="W170" t="inlineStr">
        <is>
          <t>1989-11-27</t>
        </is>
      </c>
      <c r="X170" t="inlineStr">
        <is>
          <t>1989-11-27</t>
        </is>
      </c>
      <c r="Y170" t="inlineStr">
        <is>
          <t>1987-10-08</t>
        </is>
      </c>
      <c r="Z170" t="inlineStr">
        <is>
          <t>1987-10-08</t>
        </is>
      </c>
      <c r="AA170" t="n">
        <v>20</v>
      </c>
      <c r="AB170" t="n">
        <v>18</v>
      </c>
      <c r="AC170" t="n">
        <v>272</v>
      </c>
      <c r="AD170" t="n">
        <v>1</v>
      </c>
      <c r="AE170" t="n">
        <v>2</v>
      </c>
      <c r="AF170" t="n">
        <v>0</v>
      </c>
      <c r="AG170" t="n">
        <v>11</v>
      </c>
      <c r="AH170" t="n">
        <v>0</v>
      </c>
      <c r="AI170" t="n">
        <v>2</v>
      </c>
      <c r="AJ170" t="n">
        <v>0</v>
      </c>
      <c r="AK170" t="n">
        <v>1</v>
      </c>
      <c r="AL170" t="n">
        <v>0</v>
      </c>
      <c r="AM170" t="n">
        <v>8</v>
      </c>
      <c r="AN170" t="n">
        <v>0</v>
      </c>
      <c r="AO170" t="n">
        <v>1</v>
      </c>
      <c r="AP170" t="n">
        <v>0</v>
      </c>
      <c r="AQ170" t="n">
        <v>0</v>
      </c>
      <c r="AR170" t="inlineStr">
        <is>
          <t>No</t>
        </is>
      </c>
      <c r="AS170" t="inlineStr">
        <is>
          <t>No</t>
        </is>
      </c>
      <c r="AU170">
        <f>HYPERLINK("https://creighton-primo.hosted.exlibrisgroup.com/primo-explore/search?tab=default_tab&amp;search_scope=EVERYTHING&amp;vid=01CRU&amp;lang=en_US&amp;offset=0&amp;query=any,contains,991001172619702656","Catalog Record")</f>
        <v/>
      </c>
      <c r="AV170">
        <f>HYPERLINK("http://www.worldcat.org/oclc/7493663","WorldCat Record")</f>
        <v/>
      </c>
      <c r="AW170" t="inlineStr">
        <is>
          <t>2169230:eng</t>
        </is>
      </c>
      <c r="AX170" t="inlineStr">
        <is>
          <t>7493663</t>
        </is>
      </c>
      <c r="AY170" t="inlineStr">
        <is>
          <t>991001172619702656</t>
        </is>
      </c>
      <c r="AZ170" t="inlineStr">
        <is>
          <t>991001172619702656</t>
        </is>
      </c>
      <c r="BA170" t="inlineStr">
        <is>
          <t>2267968510002656</t>
        </is>
      </c>
      <c r="BB170" t="inlineStr">
        <is>
          <t>BOOK</t>
        </is>
      </c>
      <c r="BE170" t="inlineStr">
        <is>
          <t>30001000307381</t>
        </is>
      </c>
      <c r="BF170" t="inlineStr">
        <is>
          <t>893546422</t>
        </is>
      </c>
    </row>
    <row r="171">
      <c r="A171" t="inlineStr">
        <is>
          <t>No</t>
        </is>
      </c>
      <c r="B171" t="inlineStr">
        <is>
          <t>CUHSL</t>
        </is>
      </c>
      <c r="C171" t="inlineStr">
        <is>
          <t>SHELVES</t>
        </is>
      </c>
      <c r="D171" t="inlineStr">
        <is>
          <t>W 19 W615e 1989</t>
        </is>
      </c>
      <c r="E171" t="inlineStr">
        <is>
          <t>0                      W  0019000W  615e        1989</t>
        </is>
      </c>
      <c r="F171" t="inlineStr">
        <is>
          <t>Executive skills for medical faculty / Neal Whitman, Elane Weiss, F. Marian Bishop; with contributions by C. Brooklyn Derr ... [et al.].</t>
        </is>
      </c>
      <c r="H171" t="inlineStr">
        <is>
          <t>No</t>
        </is>
      </c>
      <c r="I171" t="inlineStr">
        <is>
          <t>1</t>
        </is>
      </c>
      <c r="J171" t="inlineStr">
        <is>
          <t>No</t>
        </is>
      </c>
      <c r="K171" t="inlineStr">
        <is>
          <t>No</t>
        </is>
      </c>
      <c r="L171" t="inlineStr">
        <is>
          <t>0</t>
        </is>
      </c>
      <c r="M171" t="inlineStr">
        <is>
          <t>Whitman, Neal.</t>
        </is>
      </c>
      <c r="N171" t="inlineStr">
        <is>
          <t>Salt Lake City, Utah : Dept. of Family and Preventive Medicine, University of Utah School of Medicine, c1989.</t>
        </is>
      </c>
      <c r="O171" t="inlineStr">
        <is>
          <t>1989</t>
        </is>
      </c>
      <c r="P171" t="inlineStr">
        <is>
          <t>1st ed.</t>
        </is>
      </c>
      <c r="Q171" t="inlineStr">
        <is>
          <t>eng</t>
        </is>
      </c>
      <c r="R171" t="inlineStr">
        <is>
          <t>utu</t>
        </is>
      </c>
      <c r="T171" t="inlineStr">
        <is>
          <t xml:space="preserve">W  </t>
        </is>
      </c>
      <c r="U171" t="n">
        <v>5</v>
      </c>
      <c r="V171" t="n">
        <v>5</v>
      </c>
      <c r="W171" t="inlineStr">
        <is>
          <t>1989-11-28</t>
        </is>
      </c>
      <c r="X171" t="inlineStr">
        <is>
          <t>1989-11-28</t>
        </is>
      </c>
      <c r="Y171" t="inlineStr">
        <is>
          <t>1989-11-02</t>
        </is>
      </c>
      <c r="Z171" t="inlineStr">
        <is>
          <t>1989-11-02</t>
        </is>
      </c>
      <c r="AA171" t="n">
        <v>34</v>
      </c>
      <c r="AB171" t="n">
        <v>31</v>
      </c>
      <c r="AC171" t="n">
        <v>50</v>
      </c>
      <c r="AD171" t="n">
        <v>1</v>
      </c>
      <c r="AE171" t="n">
        <v>1</v>
      </c>
      <c r="AF171" t="n">
        <v>1</v>
      </c>
      <c r="AG171" t="n">
        <v>2</v>
      </c>
      <c r="AH171" t="n">
        <v>0</v>
      </c>
      <c r="AI171" t="n">
        <v>0</v>
      </c>
      <c r="AJ171" t="n">
        <v>1</v>
      </c>
      <c r="AK171" t="n">
        <v>2</v>
      </c>
      <c r="AL171" t="n">
        <v>1</v>
      </c>
      <c r="AM171" t="n">
        <v>1</v>
      </c>
      <c r="AN171" t="n">
        <v>0</v>
      </c>
      <c r="AO171" t="n">
        <v>0</v>
      </c>
      <c r="AP171" t="n">
        <v>0</v>
      </c>
      <c r="AQ171" t="n">
        <v>0</v>
      </c>
      <c r="AR171" t="inlineStr">
        <is>
          <t>No</t>
        </is>
      </c>
      <c r="AS171" t="inlineStr">
        <is>
          <t>No</t>
        </is>
      </c>
      <c r="AU171">
        <f>HYPERLINK("https://creighton-primo.hosted.exlibrisgroup.com/primo-explore/search?tab=default_tab&amp;search_scope=EVERYTHING&amp;vid=01CRU&amp;lang=en_US&amp;offset=0&amp;query=any,contains,991001361419702656","Catalog Record")</f>
        <v/>
      </c>
      <c r="AV171">
        <f>HYPERLINK("http://www.worldcat.org/oclc/20848746","WorldCat Record")</f>
        <v/>
      </c>
      <c r="AW171" t="inlineStr">
        <is>
          <t>22822024:eng</t>
        </is>
      </c>
      <c r="AX171" t="inlineStr">
        <is>
          <t>20848746</t>
        </is>
      </c>
      <c r="AY171" t="inlineStr">
        <is>
          <t>991001361419702656</t>
        </is>
      </c>
      <c r="AZ171" t="inlineStr">
        <is>
          <t>991001361419702656</t>
        </is>
      </c>
      <c r="BA171" t="inlineStr">
        <is>
          <t>2255811130002656</t>
        </is>
      </c>
      <c r="BB171" t="inlineStr">
        <is>
          <t>BOOK</t>
        </is>
      </c>
      <c r="BE171" t="inlineStr">
        <is>
          <t>30001001796806</t>
        </is>
      </c>
      <c r="BF171" t="inlineStr">
        <is>
          <t>893451110</t>
        </is>
      </c>
    </row>
    <row r="172">
      <c r="A172" t="inlineStr">
        <is>
          <t>No</t>
        </is>
      </c>
      <c r="B172" t="inlineStr">
        <is>
          <t>CUHSL</t>
        </is>
      </c>
      <c r="C172" t="inlineStr">
        <is>
          <t>SHELVES</t>
        </is>
      </c>
      <c r="D172" t="inlineStr">
        <is>
          <t>W 20 A512a 1986</t>
        </is>
      </c>
      <c r="E172" t="inlineStr">
        <is>
          <t>0                      W  0020000A  512a        1986</t>
        </is>
      </c>
      <c r="F172" t="inlineStr">
        <is>
          <t>AMSA's student guide to the appraisal and selection of house staff training programs.</t>
        </is>
      </c>
      <c r="H172" t="inlineStr">
        <is>
          <t>No</t>
        </is>
      </c>
      <c r="I172" t="inlineStr">
        <is>
          <t>1</t>
        </is>
      </c>
      <c r="J172" t="inlineStr">
        <is>
          <t>No</t>
        </is>
      </c>
      <c r="K172" t="inlineStr">
        <is>
          <t>No</t>
        </is>
      </c>
      <c r="L172" t="inlineStr">
        <is>
          <t>0</t>
        </is>
      </c>
      <c r="M172" t="inlineStr">
        <is>
          <t>American Medical Student Association.</t>
        </is>
      </c>
      <c r="N172" t="inlineStr">
        <is>
          <t>Reston, Va. : AMSA, 1986.</t>
        </is>
      </c>
      <c r="O172" t="inlineStr">
        <is>
          <t>1986</t>
        </is>
      </c>
      <c r="P172" t="inlineStr">
        <is>
          <t>3rd ed.</t>
        </is>
      </c>
      <c r="Q172" t="inlineStr">
        <is>
          <t>eng</t>
        </is>
      </c>
      <c r="R172" t="inlineStr">
        <is>
          <t>vau</t>
        </is>
      </c>
      <c r="T172" t="inlineStr">
        <is>
          <t xml:space="preserve">W  </t>
        </is>
      </c>
      <c r="U172" t="n">
        <v>3</v>
      </c>
      <c r="V172" t="n">
        <v>3</v>
      </c>
      <c r="W172" t="inlineStr">
        <is>
          <t>1999-11-26</t>
        </is>
      </c>
      <c r="X172" t="inlineStr">
        <is>
          <t>1999-11-26</t>
        </is>
      </c>
      <c r="Y172" t="inlineStr">
        <is>
          <t>1990-03-26</t>
        </is>
      </c>
      <c r="Z172" t="inlineStr">
        <is>
          <t>1990-03-26</t>
        </is>
      </c>
      <c r="AA172" t="n">
        <v>13</v>
      </c>
      <c r="AB172" t="n">
        <v>13</v>
      </c>
      <c r="AC172" t="n">
        <v>44</v>
      </c>
      <c r="AD172" t="n">
        <v>1</v>
      </c>
      <c r="AE172" t="n">
        <v>1</v>
      </c>
      <c r="AF172" t="n">
        <v>0</v>
      </c>
      <c r="AG172" t="n">
        <v>0</v>
      </c>
      <c r="AH172" t="n">
        <v>0</v>
      </c>
      <c r="AI172" t="n">
        <v>0</v>
      </c>
      <c r="AJ172" t="n">
        <v>0</v>
      </c>
      <c r="AK172" t="n">
        <v>0</v>
      </c>
      <c r="AL172" t="n">
        <v>0</v>
      </c>
      <c r="AM172" t="n">
        <v>0</v>
      </c>
      <c r="AN172" t="n">
        <v>0</v>
      </c>
      <c r="AO172" t="n">
        <v>0</v>
      </c>
      <c r="AP172" t="n">
        <v>0</v>
      </c>
      <c r="AQ172" t="n">
        <v>0</v>
      </c>
      <c r="AR172" t="inlineStr">
        <is>
          <t>No</t>
        </is>
      </c>
      <c r="AS172" t="inlineStr">
        <is>
          <t>No</t>
        </is>
      </c>
      <c r="AU172">
        <f>HYPERLINK("https://creighton-primo.hosted.exlibrisgroup.com/primo-explore/search?tab=default_tab&amp;search_scope=EVERYTHING&amp;vid=01CRU&amp;lang=en_US&amp;offset=0&amp;query=any,contains,991001355109702656","Catalog Record")</f>
        <v/>
      </c>
      <c r="AV172">
        <f>HYPERLINK("http://www.worldcat.org/oclc/17960528","WorldCat Record")</f>
        <v/>
      </c>
      <c r="AW172" t="inlineStr">
        <is>
          <t>54384411:eng</t>
        </is>
      </c>
      <c r="AX172" t="inlineStr">
        <is>
          <t>17960528</t>
        </is>
      </c>
      <c r="AY172" t="inlineStr">
        <is>
          <t>991001355109702656</t>
        </is>
      </c>
      <c r="AZ172" t="inlineStr">
        <is>
          <t>991001355109702656</t>
        </is>
      </c>
      <c r="BA172" t="inlineStr">
        <is>
          <t>2267445880002656</t>
        </is>
      </c>
      <c r="BB172" t="inlineStr">
        <is>
          <t>BOOK</t>
        </is>
      </c>
      <c r="BE172" t="inlineStr">
        <is>
          <t>30001001795790</t>
        </is>
      </c>
      <c r="BF172" t="inlineStr">
        <is>
          <t>893816327</t>
        </is>
      </c>
    </row>
    <row r="173">
      <c r="A173" t="inlineStr">
        <is>
          <t>No</t>
        </is>
      </c>
      <c r="B173" t="inlineStr">
        <is>
          <t>CUHSL</t>
        </is>
      </c>
      <c r="C173" t="inlineStr">
        <is>
          <t>SHELVES</t>
        </is>
      </c>
      <c r="D173" t="inlineStr">
        <is>
          <t>W 20 C678h 1988</t>
        </is>
      </c>
      <c r="E173" t="inlineStr">
        <is>
          <t>0                      W  0020000C  678h        1988</t>
        </is>
      </c>
      <c r="F173" t="inlineStr">
        <is>
          <t>House officer : becoming a medical specialist / Richard L. Cohen.</t>
        </is>
      </c>
      <c r="H173" t="inlineStr">
        <is>
          <t>No</t>
        </is>
      </c>
      <c r="I173" t="inlineStr">
        <is>
          <t>1</t>
        </is>
      </c>
      <c r="J173" t="inlineStr">
        <is>
          <t>No</t>
        </is>
      </c>
      <c r="K173" t="inlineStr">
        <is>
          <t>No</t>
        </is>
      </c>
      <c r="L173" t="inlineStr">
        <is>
          <t>0</t>
        </is>
      </c>
      <c r="M173" t="inlineStr">
        <is>
          <t>Cohen, Richard L. (Richard Lawrence), 1922-</t>
        </is>
      </c>
      <c r="N173" t="inlineStr">
        <is>
          <t>New York : Plenum Medical Book Co., c1988.</t>
        </is>
      </c>
      <c r="O173" t="inlineStr">
        <is>
          <t>1988</t>
        </is>
      </c>
      <c r="Q173" t="inlineStr">
        <is>
          <t>eng</t>
        </is>
      </c>
      <c r="R173" t="inlineStr">
        <is>
          <t>xxu</t>
        </is>
      </c>
      <c r="T173" t="inlineStr">
        <is>
          <t xml:space="preserve">W  </t>
        </is>
      </c>
      <c r="U173" t="n">
        <v>34</v>
      </c>
      <c r="V173" t="n">
        <v>34</v>
      </c>
      <c r="W173" t="inlineStr">
        <is>
          <t>2000-03-13</t>
        </is>
      </c>
      <c r="X173" t="inlineStr">
        <is>
          <t>2000-03-13</t>
        </is>
      </c>
      <c r="Y173" t="inlineStr">
        <is>
          <t>1990-01-26</t>
        </is>
      </c>
      <c r="Z173" t="inlineStr">
        <is>
          <t>1990-01-26</t>
        </is>
      </c>
      <c r="AA173" t="n">
        <v>130</v>
      </c>
      <c r="AB173" t="n">
        <v>112</v>
      </c>
      <c r="AC173" t="n">
        <v>136</v>
      </c>
      <c r="AD173" t="n">
        <v>2</v>
      </c>
      <c r="AE173" t="n">
        <v>2</v>
      </c>
      <c r="AF173" t="n">
        <v>2</v>
      </c>
      <c r="AG173" t="n">
        <v>2</v>
      </c>
      <c r="AH173" t="n">
        <v>0</v>
      </c>
      <c r="AI173" t="n">
        <v>0</v>
      </c>
      <c r="AJ173" t="n">
        <v>0</v>
      </c>
      <c r="AK173" t="n">
        <v>0</v>
      </c>
      <c r="AL173" t="n">
        <v>1</v>
      </c>
      <c r="AM173" t="n">
        <v>1</v>
      </c>
      <c r="AN173" t="n">
        <v>1</v>
      </c>
      <c r="AO173" t="n">
        <v>1</v>
      </c>
      <c r="AP173" t="n">
        <v>0</v>
      </c>
      <c r="AQ173" t="n">
        <v>0</v>
      </c>
      <c r="AR173" t="inlineStr">
        <is>
          <t>No</t>
        </is>
      </c>
      <c r="AS173" t="inlineStr">
        <is>
          <t>Yes</t>
        </is>
      </c>
      <c r="AT173">
        <f>HYPERLINK("http://catalog.hathitrust.org/Record/000929555","HathiTrust Record")</f>
        <v/>
      </c>
      <c r="AU173">
        <f>HYPERLINK("https://creighton-primo.hosted.exlibrisgroup.com/primo-explore/search?tab=default_tab&amp;search_scope=EVERYTHING&amp;vid=01CRU&amp;lang=en_US&amp;offset=0&amp;query=any,contains,991001382299702656","Catalog Record")</f>
        <v/>
      </c>
      <c r="AV173">
        <f>HYPERLINK("http://www.worldcat.org/oclc/18051500","WorldCat Record")</f>
        <v/>
      </c>
      <c r="AW173" t="inlineStr">
        <is>
          <t>16299477:eng</t>
        </is>
      </c>
      <c r="AX173" t="inlineStr">
        <is>
          <t>18051500</t>
        </is>
      </c>
      <c r="AY173" t="inlineStr">
        <is>
          <t>991001382299702656</t>
        </is>
      </c>
      <c r="AZ173" t="inlineStr">
        <is>
          <t>991001382299702656</t>
        </is>
      </c>
      <c r="BA173" t="inlineStr">
        <is>
          <t>2256161950002656</t>
        </is>
      </c>
      <c r="BB173" t="inlineStr">
        <is>
          <t>BOOK</t>
        </is>
      </c>
      <c r="BD173" t="inlineStr">
        <is>
          <t>9780306429422</t>
        </is>
      </c>
      <c r="BE173" t="inlineStr">
        <is>
          <t>30001001799032</t>
        </is>
      </c>
      <c r="BF173" t="inlineStr">
        <is>
          <t>893374488</t>
        </is>
      </c>
    </row>
    <row r="174">
      <c r="A174" t="inlineStr">
        <is>
          <t>No</t>
        </is>
      </c>
      <c r="B174" t="inlineStr">
        <is>
          <t>CUHSL</t>
        </is>
      </c>
      <c r="C174" t="inlineStr">
        <is>
          <t>SHELVES</t>
        </is>
      </c>
      <c r="D174" t="inlineStr">
        <is>
          <t>W 20 D628 1992-93</t>
        </is>
      </c>
      <c r="E174" t="inlineStr">
        <is>
          <t>0                      W  0020000D  628         1992                                        -93</t>
        </is>
      </c>
      <c r="F174" t="inlineStr">
        <is>
          <t>Directory of training programs in internal medicine : residency and subspecialty fellowships, 1992-1993/ prepared by National Study of Internal Medicine Manpower, the University of Chicago.</t>
        </is>
      </c>
      <c r="H174" t="inlineStr">
        <is>
          <t>No</t>
        </is>
      </c>
      <c r="I174" t="inlineStr">
        <is>
          <t>1</t>
        </is>
      </c>
      <c r="J174" t="inlineStr">
        <is>
          <t>No</t>
        </is>
      </c>
      <c r="K174" t="inlineStr">
        <is>
          <t>No</t>
        </is>
      </c>
      <c r="L174" t="inlineStr">
        <is>
          <t>0</t>
        </is>
      </c>
      <c r="N174" t="inlineStr">
        <is>
          <t>Chicago : National Study of Internal Medicine Manpower, 1993.</t>
        </is>
      </c>
      <c r="O174" t="inlineStr">
        <is>
          <t>1993</t>
        </is>
      </c>
      <c r="Q174" t="inlineStr">
        <is>
          <t>eng</t>
        </is>
      </c>
      <c r="R174" t="inlineStr">
        <is>
          <t>ilu</t>
        </is>
      </c>
      <c r="T174" t="inlineStr">
        <is>
          <t xml:space="preserve">W  </t>
        </is>
      </c>
      <c r="U174" t="n">
        <v>4</v>
      </c>
      <c r="V174" t="n">
        <v>4</v>
      </c>
      <c r="W174" t="inlineStr">
        <is>
          <t>1993-08-11</t>
        </is>
      </c>
      <c r="X174" t="inlineStr">
        <is>
          <t>1993-08-11</t>
        </is>
      </c>
      <c r="Y174" t="inlineStr">
        <is>
          <t>1993-06-18</t>
        </is>
      </c>
      <c r="Z174" t="inlineStr">
        <is>
          <t>1993-06-18</t>
        </is>
      </c>
      <c r="AA174" t="n">
        <v>14</v>
      </c>
      <c r="AB174" t="n">
        <v>14</v>
      </c>
      <c r="AC174" t="n">
        <v>14</v>
      </c>
      <c r="AD174" t="n">
        <v>1</v>
      </c>
      <c r="AE174" t="n">
        <v>1</v>
      </c>
      <c r="AF174" t="n">
        <v>0</v>
      </c>
      <c r="AG174" t="n">
        <v>0</v>
      </c>
      <c r="AH174" t="n">
        <v>0</v>
      </c>
      <c r="AI174" t="n">
        <v>0</v>
      </c>
      <c r="AJ174" t="n">
        <v>0</v>
      </c>
      <c r="AK174" t="n">
        <v>0</v>
      </c>
      <c r="AL174" t="n">
        <v>0</v>
      </c>
      <c r="AM174" t="n">
        <v>0</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HYPERLINK("https://creighton-primo.hosted.exlibrisgroup.com/primo-explore/search?tab=default_tab&amp;search_scope=EVERYTHING&amp;vid=01CRU&amp;lang=en_US&amp;offset=0&amp;query=any,contains,991001481059702656","Catalog Record")</f>
        <v/>
      </c>
      <c r="AV174">
        <f>HYPERLINK("http://www.worldcat.org/oclc/28537866","WorldCat Record")</f>
        <v/>
      </c>
      <c r="AW174" t="inlineStr">
        <is>
          <t>3857386742:eng</t>
        </is>
      </c>
      <c r="AX174" t="inlineStr">
        <is>
          <t>28537866</t>
        </is>
      </c>
      <c r="AY174" t="inlineStr">
        <is>
          <t>991001481059702656</t>
        </is>
      </c>
      <c r="AZ174" t="inlineStr">
        <is>
          <t>991001481059702656</t>
        </is>
      </c>
      <c r="BA174" t="inlineStr">
        <is>
          <t>2257046680002656</t>
        </is>
      </c>
      <c r="BB174" t="inlineStr">
        <is>
          <t>BOOK</t>
        </is>
      </c>
      <c r="BE174" t="inlineStr">
        <is>
          <t>30001002569483</t>
        </is>
      </c>
      <c r="BF174" t="inlineStr">
        <is>
          <t>893451246</t>
        </is>
      </c>
    </row>
    <row r="175">
      <c r="A175" t="inlineStr">
        <is>
          <t>No</t>
        </is>
      </c>
      <c r="B175" t="inlineStr">
        <is>
          <t>CUHSL</t>
        </is>
      </c>
      <c r="C175" t="inlineStr">
        <is>
          <t>SHELVES</t>
        </is>
      </c>
      <c r="D175" t="inlineStr">
        <is>
          <t>W 20 D912r 1996</t>
        </is>
      </c>
      <c r="E175" t="inlineStr">
        <is>
          <t>0                      W  0020000D  912r        1996</t>
        </is>
      </c>
      <c r="F175" t="inlineStr">
        <is>
          <t>Residents : the perils and promise of educating young doctors / David Ewing Duncan.</t>
        </is>
      </c>
      <c r="H175" t="inlineStr">
        <is>
          <t>No</t>
        </is>
      </c>
      <c r="I175" t="inlineStr">
        <is>
          <t>1</t>
        </is>
      </c>
      <c r="J175" t="inlineStr">
        <is>
          <t>No</t>
        </is>
      </c>
      <c r="K175" t="inlineStr">
        <is>
          <t>No</t>
        </is>
      </c>
      <c r="L175" t="inlineStr">
        <is>
          <t>0</t>
        </is>
      </c>
      <c r="M175" t="inlineStr">
        <is>
          <t>Duncan, David Ewing.</t>
        </is>
      </c>
      <c r="N175" t="inlineStr">
        <is>
          <t>New York, NY : Scribner, c1996.</t>
        </is>
      </c>
      <c r="O175" t="inlineStr">
        <is>
          <t>1996</t>
        </is>
      </c>
      <c r="Q175" t="inlineStr">
        <is>
          <t>eng</t>
        </is>
      </c>
      <c r="R175" t="inlineStr">
        <is>
          <t>nyu</t>
        </is>
      </c>
      <c r="T175" t="inlineStr">
        <is>
          <t xml:space="preserve">W  </t>
        </is>
      </c>
      <c r="U175" t="n">
        <v>28</v>
      </c>
      <c r="V175" t="n">
        <v>28</v>
      </c>
      <c r="W175" t="inlineStr">
        <is>
          <t>2001-11-21</t>
        </is>
      </c>
      <c r="X175" t="inlineStr">
        <is>
          <t>2001-11-21</t>
        </is>
      </c>
      <c r="Y175" t="inlineStr">
        <is>
          <t>1996-08-20</t>
        </is>
      </c>
      <c r="Z175" t="inlineStr">
        <is>
          <t>1996-08-20</t>
        </is>
      </c>
      <c r="AA175" t="n">
        <v>280</v>
      </c>
      <c r="AB175" t="n">
        <v>258</v>
      </c>
      <c r="AC175" t="n">
        <v>263</v>
      </c>
      <c r="AD175" t="n">
        <v>1</v>
      </c>
      <c r="AE175" t="n">
        <v>1</v>
      </c>
      <c r="AF175" t="n">
        <v>6</v>
      </c>
      <c r="AG175" t="n">
        <v>6</v>
      </c>
      <c r="AH175" t="n">
        <v>3</v>
      </c>
      <c r="AI175" t="n">
        <v>3</v>
      </c>
      <c r="AJ175" t="n">
        <v>0</v>
      </c>
      <c r="AK175" t="n">
        <v>0</v>
      </c>
      <c r="AL175" t="n">
        <v>5</v>
      </c>
      <c r="AM175" t="n">
        <v>5</v>
      </c>
      <c r="AN175" t="n">
        <v>0</v>
      </c>
      <c r="AO175" t="n">
        <v>0</v>
      </c>
      <c r="AP175" t="n">
        <v>0</v>
      </c>
      <c r="AQ175" t="n">
        <v>0</v>
      </c>
      <c r="AR175" t="inlineStr">
        <is>
          <t>No</t>
        </is>
      </c>
      <c r="AS175" t="inlineStr">
        <is>
          <t>No</t>
        </is>
      </c>
      <c r="AU175">
        <f>HYPERLINK("https://creighton-primo.hosted.exlibrisgroup.com/primo-explore/search?tab=default_tab&amp;search_scope=EVERYTHING&amp;vid=01CRU&amp;lang=en_US&amp;offset=0&amp;query=any,contains,991000834619702656","Catalog Record")</f>
        <v/>
      </c>
      <c r="AV175">
        <f>HYPERLINK("http://www.worldcat.org/oclc/34474192","WorldCat Record")</f>
        <v/>
      </c>
      <c r="AW175" t="inlineStr">
        <is>
          <t>354817345:eng</t>
        </is>
      </c>
      <c r="AX175" t="inlineStr">
        <is>
          <t>34474192</t>
        </is>
      </c>
      <c r="AY175" t="inlineStr">
        <is>
          <t>991000834619702656</t>
        </is>
      </c>
      <c r="AZ175" t="inlineStr">
        <is>
          <t>991000834619702656</t>
        </is>
      </c>
      <c r="BA175" t="inlineStr">
        <is>
          <t>2265939710002656</t>
        </is>
      </c>
      <c r="BB175" t="inlineStr">
        <is>
          <t>BOOK</t>
        </is>
      </c>
      <c r="BD175" t="inlineStr">
        <is>
          <t>9780684197098</t>
        </is>
      </c>
      <c r="BE175" t="inlineStr">
        <is>
          <t>30001003441070</t>
        </is>
      </c>
      <c r="BF175" t="inlineStr">
        <is>
          <t>893363248</t>
        </is>
      </c>
    </row>
    <row r="176">
      <c r="A176" t="inlineStr">
        <is>
          <t>No</t>
        </is>
      </c>
      <c r="B176" t="inlineStr">
        <is>
          <t>CUHSL</t>
        </is>
      </c>
      <c r="C176" t="inlineStr">
        <is>
          <t>SHELVES</t>
        </is>
      </c>
      <c r="D176" t="inlineStr">
        <is>
          <t>W 20 E25g 1984</t>
        </is>
      </c>
      <c r="E176" t="inlineStr">
        <is>
          <t>0                      W  0020000E  25g         1984</t>
        </is>
      </c>
      <c r="F176" t="inlineStr">
        <is>
          <t>The graduate education of foreign physicians in public health and preventive medicine : the role of United States teaching institutions, April 23-24, 1984, Washington, D.C. / a workshop sponsored jointly by the Educational Commission for Foreign Medical Graduates and the Division of Medicine, Bureau of Health Professions, Health Resources and Services Administration, Public Health Service, U.S. Department of Health and Human Services.</t>
        </is>
      </c>
      <c r="H176" t="inlineStr">
        <is>
          <t>No</t>
        </is>
      </c>
      <c r="I176" t="inlineStr">
        <is>
          <t>1</t>
        </is>
      </c>
      <c r="J176" t="inlineStr">
        <is>
          <t>No</t>
        </is>
      </c>
      <c r="K176" t="inlineStr">
        <is>
          <t>No</t>
        </is>
      </c>
      <c r="L176" t="inlineStr">
        <is>
          <t>0</t>
        </is>
      </c>
      <c r="M176" t="inlineStr">
        <is>
          <t>Educational Commission for Foreign Medical Graduates.</t>
        </is>
      </c>
      <c r="N176" t="inlineStr">
        <is>
          <t>Washington, D.C. : The Commission, 1984.</t>
        </is>
      </c>
      <c r="O176" t="inlineStr">
        <is>
          <t>1984</t>
        </is>
      </c>
      <c r="Q176" t="inlineStr">
        <is>
          <t>eng</t>
        </is>
      </c>
      <c r="R176" t="inlineStr">
        <is>
          <t>dcu</t>
        </is>
      </c>
      <c r="T176" t="inlineStr">
        <is>
          <t xml:space="preserve">W  </t>
        </is>
      </c>
      <c r="U176" t="n">
        <v>2</v>
      </c>
      <c r="V176" t="n">
        <v>2</v>
      </c>
      <c r="W176" t="inlineStr">
        <is>
          <t>1988-07-28</t>
        </is>
      </c>
      <c r="X176" t="inlineStr">
        <is>
          <t>1988-07-28</t>
        </is>
      </c>
      <c r="Y176" t="inlineStr">
        <is>
          <t>1987-10-01</t>
        </is>
      </c>
      <c r="Z176" t="inlineStr">
        <is>
          <t>1987-10-01</t>
        </is>
      </c>
      <c r="AA176" t="n">
        <v>51</v>
      </c>
      <c r="AB176" t="n">
        <v>43</v>
      </c>
      <c r="AC176" t="n">
        <v>46</v>
      </c>
      <c r="AD176" t="n">
        <v>1</v>
      </c>
      <c r="AE176" t="n">
        <v>1</v>
      </c>
      <c r="AF176" t="n">
        <v>0</v>
      </c>
      <c r="AG176" t="n">
        <v>0</v>
      </c>
      <c r="AH176" t="n">
        <v>0</v>
      </c>
      <c r="AI176" t="n">
        <v>0</v>
      </c>
      <c r="AJ176" t="n">
        <v>0</v>
      </c>
      <c r="AK176" t="n">
        <v>0</v>
      </c>
      <c r="AL176" t="n">
        <v>0</v>
      </c>
      <c r="AM176" t="n">
        <v>0</v>
      </c>
      <c r="AN176" t="n">
        <v>0</v>
      </c>
      <c r="AO176" t="n">
        <v>0</v>
      </c>
      <c r="AP176" t="n">
        <v>0</v>
      </c>
      <c r="AQ176" t="n">
        <v>0</v>
      </c>
      <c r="AR176" t="inlineStr">
        <is>
          <t>No</t>
        </is>
      </c>
      <c r="AS176" t="inlineStr">
        <is>
          <t>No</t>
        </is>
      </c>
      <c r="AU176">
        <f>HYPERLINK("https://creighton-primo.hosted.exlibrisgroup.com/primo-explore/search?tab=default_tab&amp;search_scope=EVERYTHING&amp;vid=01CRU&amp;lang=en_US&amp;offset=0&amp;query=any,contains,991001173199702656","Catalog Record")</f>
        <v/>
      </c>
      <c r="AV176">
        <f>HYPERLINK("http://www.worldcat.org/oclc/15520794","WorldCat Record")</f>
        <v/>
      </c>
      <c r="AW176" t="inlineStr">
        <is>
          <t>374613584:eng</t>
        </is>
      </c>
      <c r="AX176" t="inlineStr">
        <is>
          <t>15520794</t>
        </is>
      </c>
      <c r="AY176" t="inlineStr">
        <is>
          <t>991001173199702656</t>
        </is>
      </c>
      <c r="AZ176" t="inlineStr">
        <is>
          <t>991001173199702656</t>
        </is>
      </c>
      <c r="BA176" t="inlineStr">
        <is>
          <t>2255428230002656</t>
        </is>
      </c>
      <c r="BB176" t="inlineStr">
        <is>
          <t>BOOK</t>
        </is>
      </c>
      <c r="BE176" t="inlineStr">
        <is>
          <t>30001000307498</t>
        </is>
      </c>
      <c r="BF176" t="inlineStr">
        <is>
          <t>893552203</t>
        </is>
      </c>
    </row>
    <row r="177">
      <c r="A177" t="inlineStr">
        <is>
          <t>No</t>
        </is>
      </c>
      <c r="B177" t="inlineStr">
        <is>
          <t>CUHSL</t>
        </is>
      </c>
      <c r="C177" t="inlineStr">
        <is>
          <t>SHELVES</t>
        </is>
      </c>
      <c r="D177" t="inlineStr">
        <is>
          <t>W 20 G754 1980</t>
        </is>
      </c>
      <c r="E177" t="inlineStr">
        <is>
          <t>0                      W  0020000G  754         1980</t>
        </is>
      </c>
      <c r="F177" t="inlineStr">
        <is>
          <t>Graduate medical education present and prospective : a call for action : report of the Macy Study Group.</t>
        </is>
      </c>
      <c r="H177" t="inlineStr">
        <is>
          <t>No</t>
        </is>
      </c>
      <c r="I177" t="inlineStr">
        <is>
          <t>1</t>
        </is>
      </c>
      <c r="J177" t="inlineStr">
        <is>
          <t>No</t>
        </is>
      </c>
      <c r="K177" t="inlineStr">
        <is>
          <t>No</t>
        </is>
      </c>
      <c r="L177" t="inlineStr">
        <is>
          <t>0</t>
        </is>
      </c>
      <c r="N177" t="inlineStr">
        <is>
          <t>New York : Josiah Macy, Jr. Foundation, 1980.</t>
        </is>
      </c>
      <c r="O177" t="inlineStr">
        <is>
          <t>1980</t>
        </is>
      </c>
      <c r="Q177" t="inlineStr">
        <is>
          <t>eng</t>
        </is>
      </c>
      <c r="R177" t="inlineStr">
        <is>
          <t>nyu</t>
        </is>
      </c>
      <c r="T177" t="inlineStr">
        <is>
          <t xml:space="preserve">W  </t>
        </is>
      </c>
      <c r="U177" t="n">
        <v>4</v>
      </c>
      <c r="V177" t="n">
        <v>4</v>
      </c>
      <c r="W177" t="inlineStr">
        <is>
          <t>1988-07-28</t>
        </is>
      </c>
      <c r="X177" t="inlineStr">
        <is>
          <t>1988-07-28</t>
        </is>
      </c>
      <c r="Y177" t="inlineStr">
        <is>
          <t>1987-09-30</t>
        </is>
      </c>
      <c r="Z177" t="inlineStr">
        <is>
          <t>1987-09-30</t>
        </is>
      </c>
      <c r="AA177" t="n">
        <v>98</v>
      </c>
      <c r="AB177" t="n">
        <v>84</v>
      </c>
      <c r="AC177" t="n">
        <v>86</v>
      </c>
      <c r="AD177" t="n">
        <v>1</v>
      </c>
      <c r="AE177" t="n">
        <v>1</v>
      </c>
      <c r="AF177" t="n">
        <v>1</v>
      </c>
      <c r="AG177" t="n">
        <v>1</v>
      </c>
      <c r="AH177" t="n">
        <v>0</v>
      </c>
      <c r="AI177" t="n">
        <v>0</v>
      </c>
      <c r="AJ177" t="n">
        <v>0</v>
      </c>
      <c r="AK177" t="n">
        <v>0</v>
      </c>
      <c r="AL177" t="n">
        <v>1</v>
      </c>
      <c r="AM177" t="n">
        <v>1</v>
      </c>
      <c r="AN177" t="n">
        <v>0</v>
      </c>
      <c r="AO177" t="n">
        <v>0</v>
      </c>
      <c r="AP177" t="n">
        <v>0</v>
      </c>
      <c r="AQ177" t="n">
        <v>0</v>
      </c>
      <c r="AR177" t="inlineStr">
        <is>
          <t>No</t>
        </is>
      </c>
      <c r="AS177" t="inlineStr">
        <is>
          <t>Yes</t>
        </is>
      </c>
      <c r="AT177">
        <f>HYPERLINK("http://catalog.hathitrust.org/Record/000281116","HathiTrust Record")</f>
        <v/>
      </c>
      <c r="AU177">
        <f>HYPERLINK("https://creighton-primo.hosted.exlibrisgroup.com/primo-explore/search?tab=default_tab&amp;search_scope=EVERYTHING&amp;vid=01CRU&amp;lang=en_US&amp;offset=0&amp;query=any,contains,991001173369702656","Catalog Record")</f>
        <v/>
      </c>
      <c r="AV177">
        <f>HYPERLINK("http://www.worldcat.org/oclc/6986738","WorldCat Record")</f>
        <v/>
      </c>
      <c r="AW177" t="inlineStr">
        <is>
          <t>25065781:eng</t>
        </is>
      </c>
      <c r="AX177" t="inlineStr">
        <is>
          <t>6986738</t>
        </is>
      </c>
      <c r="AY177" t="inlineStr">
        <is>
          <t>991001173369702656</t>
        </is>
      </c>
      <c r="AZ177" t="inlineStr">
        <is>
          <t>991001173369702656</t>
        </is>
      </c>
      <c r="BA177" t="inlineStr">
        <is>
          <t>2270770820002656</t>
        </is>
      </c>
      <c r="BB177" t="inlineStr">
        <is>
          <t>BOOK</t>
        </is>
      </c>
      <c r="BD177" t="inlineStr">
        <is>
          <t>9780914362340</t>
        </is>
      </c>
      <c r="BE177" t="inlineStr">
        <is>
          <t>30001000307514</t>
        </is>
      </c>
      <c r="BF177" t="inlineStr">
        <is>
          <t>893455529</t>
        </is>
      </c>
    </row>
    <row r="178">
      <c r="A178" t="inlineStr">
        <is>
          <t>No</t>
        </is>
      </c>
      <c r="B178" t="inlineStr">
        <is>
          <t>CUHSL</t>
        </is>
      </c>
      <c r="C178" t="inlineStr">
        <is>
          <t>SHELVES</t>
        </is>
      </c>
      <c r="D178" t="inlineStr">
        <is>
          <t>W 20 K64m 1985</t>
        </is>
      </c>
      <c r="E178" t="inlineStr">
        <is>
          <t>0                      W  0020000K  64m         1985</t>
        </is>
      </c>
      <c r="F178" t="inlineStr">
        <is>
          <t>A machine called indomitable / by Sonny Kleinfield.</t>
        </is>
      </c>
      <c r="H178" t="inlineStr">
        <is>
          <t>No</t>
        </is>
      </c>
      <c r="I178" t="inlineStr">
        <is>
          <t>1</t>
        </is>
      </c>
      <c r="J178" t="inlineStr">
        <is>
          <t>No</t>
        </is>
      </c>
      <c r="K178" t="inlineStr">
        <is>
          <t>No</t>
        </is>
      </c>
      <c r="L178" t="inlineStr">
        <is>
          <t>0</t>
        </is>
      </c>
      <c r="M178" t="inlineStr">
        <is>
          <t>Kleinfield, Sonny.</t>
        </is>
      </c>
      <c r="N178" t="inlineStr">
        <is>
          <t>New York : Times Books, c1985.</t>
        </is>
      </c>
      <c r="O178" t="inlineStr">
        <is>
          <t>1985</t>
        </is>
      </c>
      <c r="P178" t="inlineStr">
        <is>
          <t>1st ed.</t>
        </is>
      </c>
      <c r="Q178" t="inlineStr">
        <is>
          <t>eng</t>
        </is>
      </c>
      <c r="R178" t="inlineStr">
        <is>
          <t>nyu</t>
        </is>
      </c>
      <c r="T178" t="inlineStr">
        <is>
          <t xml:space="preserve">W  </t>
        </is>
      </c>
      <c r="U178" t="n">
        <v>5</v>
      </c>
      <c r="V178" t="n">
        <v>5</v>
      </c>
      <c r="W178" t="inlineStr">
        <is>
          <t>1996-11-04</t>
        </is>
      </c>
      <c r="X178" t="inlineStr">
        <is>
          <t>1996-11-04</t>
        </is>
      </c>
      <c r="Y178" t="inlineStr">
        <is>
          <t>1995-09-07</t>
        </is>
      </c>
      <c r="Z178" t="inlineStr">
        <is>
          <t>1995-09-07</t>
        </is>
      </c>
      <c r="AA178" t="n">
        <v>522</v>
      </c>
      <c r="AB178" t="n">
        <v>494</v>
      </c>
      <c r="AC178" t="n">
        <v>638</v>
      </c>
      <c r="AD178" t="n">
        <v>1</v>
      </c>
      <c r="AE178" t="n">
        <v>1</v>
      </c>
      <c r="AF178" t="n">
        <v>9</v>
      </c>
      <c r="AG178" t="n">
        <v>13</v>
      </c>
      <c r="AH178" t="n">
        <v>4</v>
      </c>
      <c r="AI178" t="n">
        <v>7</v>
      </c>
      <c r="AJ178" t="n">
        <v>3</v>
      </c>
      <c r="AK178" t="n">
        <v>5</v>
      </c>
      <c r="AL178" t="n">
        <v>4</v>
      </c>
      <c r="AM178" t="n">
        <v>4</v>
      </c>
      <c r="AN178" t="n">
        <v>0</v>
      </c>
      <c r="AO178" t="n">
        <v>0</v>
      </c>
      <c r="AP178" t="n">
        <v>0</v>
      </c>
      <c r="AQ178" t="n">
        <v>0</v>
      </c>
      <c r="AR178" t="inlineStr">
        <is>
          <t>No</t>
        </is>
      </c>
      <c r="AS178" t="inlineStr">
        <is>
          <t>Yes</t>
        </is>
      </c>
      <c r="AT178">
        <f>HYPERLINK("http://catalog.hathitrust.org/Record/003794828","HathiTrust Record")</f>
        <v/>
      </c>
      <c r="AU178">
        <f>HYPERLINK("https://creighton-primo.hosted.exlibrisgroup.com/primo-explore/search?tab=default_tab&amp;search_scope=EVERYTHING&amp;vid=01CRU&amp;lang=en_US&amp;offset=0&amp;query=any,contains,991001490259702656","Catalog Record")</f>
        <v/>
      </c>
      <c r="AV178">
        <f>HYPERLINK("http://www.worldcat.org/oclc/12369997","WorldCat Record")</f>
        <v/>
      </c>
      <c r="AW178" t="inlineStr">
        <is>
          <t>5017250:eng</t>
        </is>
      </c>
      <c r="AX178" t="inlineStr">
        <is>
          <t>12369997</t>
        </is>
      </c>
      <c r="AY178" t="inlineStr">
        <is>
          <t>991001490259702656</t>
        </is>
      </c>
      <c r="AZ178" t="inlineStr">
        <is>
          <t>991001490259702656</t>
        </is>
      </c>
      <c r="BA178" t="inlineStr">
        <is>
          <t>2269158950002656</t>
        </is>
      </c>
      <c r="BB178" t="inlineStr">
        <is>
          <t>BOOK</t>
        </is>
      </c>
      <c r="BD178" t="inlineStr">
        <is>
          <t>9780812912340</t>
        </is>
      </c>
      <c r="BE178" t="inlineStr">
        <is>
          <t>30001003260264</t>
        </is>
      </c>
      <c r="BF178" t="inlineStr">
        <is>
          <t>893279159</t>
        </is>
      </c>
    </row>
    <row r="179">
      <c r="A179" t="inlineStr">
        <is>
          <t>No</t>
        </is>
      </c>
      <c r="B179" t="inlineStr">
        <is>
          <t>CUHSL</t>
        </is>
      </c>
      <c r="C179" t="inlineStr">
        <is>
          <t>SHELVES</t>
        </is>
      </c>
      <c r="D179" t="inlineStr">
        <is>
          <t>W 20 L433f 1997</t>
        </is>
      </c>
      <c r="E179" t="inlineStr">
        <is>
          <t>0                      W  0020000L  433f        1997</t>
        </is>
      </c>
      <c r="F179" t="inlineStr">
        <is>
          <t>First aid for the Match : insider advice from students and residency directors / Tao Le, Vikas Bhushan, Chirag Amin ; contributors, Kieu Nguyen, David Altman.</t>
        </is>
      </c>
      <c r="H179" t="inlineStr">
        <is>
          <t>No</t>
        </is>
      </c>
      <c r="I179" t="inlineStr">
        <is>
          <t>2</t>
        </is>
      </c>
      <c r="J179" t="inlineStr">
        <is>
          <t>Yes</t>
        </is>
      </c>
      <c r="K179" t="inlineStr">
        <is>
          <t>Yes</t>
        </is>
      </c>
      <c r="L179" t="inlineStr">
        <is>
          <t>0</t>
        </is>
      </c>
      <c r="M179" t="inlineStr">
        <is>
          <t>Le, Tao.</t>
        </is>
      </c>
      <c r="N179" t="inlineStr">
        <is>
          <t>Stamford, Conn. : Appleton &amp; Lange, c1997.</t>
        </is>
      </c>
      <c r="O179" t="inlineStr">
        <is>
          <t>1997</t>
        </is>
      </c>
      <c r="P179" t="inlineStr">
        <is>
          <t>1st ed.</t>
        </is>
      </c>
      <c r="Q179" t="inlineStr">
        <is>
          <t>eng</t>
        </is>
      </c>
      <c r="R179" t="inlineStr">
        <is>
          <t>ctu</t>
        </is>
      </c>
      <c r="T179" t="inlineStr">
        <is>
          <t xml:space="preserve">W  </t>
        </is>
      </c>
      <c r="U179" t="n">
        <v>14</v>
      </c>
      <c r="V179" t="n">
        <v>58</v>
      </c>
      <c r="W179" t="inlineStr">
        <is>
          <t>2007-01-04</t>
        </is>
      </c>
      <c r="X179" t="inlineStr">
        <is>
          <t>2007-01-04</t>
        </is>
      </c>
      <c r="Y179" t="inlineStr">
        <is>
          <t>1998-06-16</t>
        </is>
      </c>
      <c r="Z179" t="inlineStr">
        <is>
          <t>1999-11-19</t>
        </is>
      </c>
      <c r="AA179" t="n">
        <v>65</v>
      </c>
      <c r="AB179" t="n">
        <v>50</v>
      </c>
      <c r="AC179" t="n">
        <v>317</v>
      </c>
      <c r="AD179" t="n">
        <v>1</v>
      </c>
      <c r="AE179" t="n">
        <v>3</v>
      </c>
      <c r="AF179" t="n">
        <v>2</v>
      </c>
      <c r="AG179" t="n">
        <v>11</v>
      </c>
      <c r="AH179" t="n">
        <v>0</v>
      </c>
      <c r="AI179" t="n">
        <v>3</v>
      </c>
      <c r="AJ179" t="n">
        <v>1</v>
      </c>
      <c r="AK179" t="n">
        <v>4</v>
      </c>
      <c r="AL179" t="n">
        <v>1</v>
      </c>
      <c r="AM179" t="n">
        <v>3</v>
      </c>
      <c r="AN179" t="n">
        <v>0</v>
      </c>
      <c r="AO179" t="n">
        <v>2</v>
      </c>
      <c r="AP179" t="n">
        <v>0</v>
      </c>
      <c r="AQ179" t="n">
        <v>0</v>
      </c>
      <c r="AR179" t="inlineStr">
        <is>
          <t>No</t>
        </is>
      </c>
      <c r="AS179" t="inlineStr">
        <is>
          <t>Yes</t>
        </is>
      </c>
      <c r="AT179">
        <f>HYPERLINK("http://catalog.hathitrust.org/Record/003112597","HathiTrust Record")</f>
        <v/>
      </c>
      <c r="AU179">
        <f>HYPERLINK("https://creighton-primo.hosted.exlibrisgroup.com/primo-explore/search?tab=default_tab&amp;search_scope=EVERYTHING&amp;vid=01CRU&amp;lang=en_US&amp;offset=0&amp;query=any,contains,991000902129702656","Catalog Record")</f>
        <v/>
      </c>
      <c r="AV179">
        <f>HYPERLINK("http://www.worldcat.org/oclc/35824576","WorldCat Record")</f>
        <v/>
      </c>
      <c r="AW179" t="inlineStr">
        <is>
          <t>793904697:eng</t>
        </is>
      </c>
      <c r="AX179" t="inlineStr">
        <is>
          <t>35824576</t>
        </is>
      </c>
      <c r="AY179" t="inlineStr">
        <is>
          <t>991000902129702656</t>
        </is>
      </c>
      <c r="AZ179" t="inlineStr">
        <is>
          <t>991000902129702656</t>
        </is>
      </c>
      <c r="BA179" t="inlineStr">
        <is>
          <t>2259780690002656</t>
        </is>
      </c>
      <c r="BB179" t="inlineStr">
        <is>
          <t>BOOK</t>
        </is>
      </c>
      <c r="BD179" t="inlineStr">
        <is>
          <t>9780838525968</t>
        </is>
      </c>
      <c r="BE179" t="inlineStr">
        <is>
          <t>30001004176717</t>
        </is>
      </c>
      <c r="BF179" t="inlineStr">
        <is>
          <t>893731516</t>
        </is>
      </c>
    </row>
    <row r="180">
      <c r="A180" t="inlineStr">
        <is>
          <t>No</t>
        </is>
      </c>
      <c r="B180" t="inlineStr">
        <is>
          <t>CUHSL</t>
        </is>
      </c>
      <c r="C180" t="inlineStr">
        <is>
          <t>SHELVES</t>
        </is>
      </c>
      <c r="D180" t="inlineStr">
        <is>
          <t>W 20 L433f 1997</t>
        </is>
      </c>
      <c r="E180" t="inlineStr">
        <is>
          <t>0                      W  0020000L  433f        1997</t>
        </is>
      </c>
      <c r="F180" t="inlineStr">
        <is>
          <t>First aid for the Match : insider advice from students and residency directors / Tao Le, Vikas Bhushan, Chirag Amin ; contributors, Kieu Nguyen, David Altman.</t>
        </is>
      </c>
      <c r="H180" t="inlineStr">
        <is>
          <t>No</t>
        </is>
      </c>
      <c r="I180" t="inlineStr">
        <is>
          <t>1</t>
        </is>
      </c>
      <c r="J180" t="inlineStr">
        <is>
          <t>Yes</t>
        </is>
      </c>
      <c r="K180" t="inlineStr">
        <is>
          <t>Yes</t>
        </is>
      </c>
      <c r="L180" t="inlineStr">
        <is>
          <t>0</t>
        </is>
      </c>
      <c r="M180" t="inlineStr">
        <is>
          <t>Le, Tao.</t>
        </is>
      </c>
      <c r="N180" t="inlineStr">
        <is>
          <t>Stamford, Conn. : Appleton &amp; Lange, c1997.</t>
        </is>
      </c>
      <c r="O180" t="inlineStr">
        <is>
          <t>1997</t>
        </is>
      </c>
      <c r="P180" t="inlineStr">
        <is>
          <t>1st ed.</t>
        </is>
      </c>
      <c r="Q180" t="inlineStr">
        <is>
          <t>eng</t>
        </is>
      </c>
      <c r="R180" t="inlineStr">
        <is>
          <t>ctu</t>
        </is>
      </c>
      <c r="T180" t="inlineStr">
        <is>
          <t xml:space="preserve">W  </t>
        </is>
      </c>
      <c r="U180" t="n">
        <v>44</v>
      </c>
      <c r="V180" t="n">
        <v>58</v>
      </c>
      <c r="W180" t="inlineStr">
        <is>
          <t>2004-09-05</t>
        </is>
      </c>
      <c r="X180" t="inlineStr">
        <is>
          <t>2007-01-04</t>
        </is>
      </c>
      <c r="Y180" t="inlineStr">
        <is>
          <t>1999-11-19</t>
        </is>
      </c>
      <c r="Z180" t="inlineStr">
        <is>
          <t>1999-11-19</t>
        </is>
      </c>
      <c r="AA180" t="n">
        <v>65</v>
      </c>
      <c r="AB180" t="n">
        <v>50</v>
      </c>
      <c r="AC180" t="n">
        <v>317</v>
      </c>
      <c r="AD180" t="n">
        <v>1</v>
      </c>
      <c r="AE180" t="n">
        <v>3</v>
      </c>
      <c r="AF180" t="n">
        <v>2</v>
      </c>
      <c r="AG180" t="n">
        <v>11</v>
      </c>
      <c r="AH180" t="n">
        <v>0</v>
      </c>
      <c r="AI180" t="n">
        <v>3</v>
      </c>
      <c r="AJ180" t="n">
        <v>1</v>
      </c>
      <c r="AK180" t="n">
        <v>4</v>
      </c>
      <c r="AL180" t="n">
        <v>1</v>
      </c>
      <c r="AM180" t="n">
        <v>3</v>
      </c>
      <c r="AN180" t="n">
        <v>0</v>
      </c>
      <c r="AO180" t="n">
        <v>2</v>
      </c>
      <c r="AP180" t="n">
        <v>0</v>
      </c>
      <c r="AQ180" t="n">
        <v>0</v>
      </c>
      <c r="AR180" t="inlineStr">
        <is>
          <t>No</t>
        </is>
      </c>
      <c r="AS180" t="inlineStr">
        <is>
          <t>Yes</t>
        </is>
      </c>
      <c r="AT180">
        <f>HYPERLINK("http://catalog.hathitrust.org/Record/003112597","HathiTrust Record")</f>
        <v/>
      </c>
      <c r="AU180">
        <f>HYPERLINK("https://creighton-primo.hosted.exlibrisgroup.com/primo-explore/search?tab=default_tab&amp;search_scope=EVERYTHING&amp;vid=01CRU&amp;lang=en_US&amp;offset=0&amp;query=any,contains,991000902129702656","Catalog Record")</f>
        <v/>
      </c>
      <c r="AV180">
        <f>HYPERLINK("http://www.worldcat.org/oclc/35824576","WorldCat Record")</f>
        <v/>
      </c>
      <c r="AW180" t="inlineStr">
        <is>
          <t>793904697:eng</t>
        </is>
      </c>
      <c r="AX180" t="inlineStr">
        <is>
          <t>35824576</t>
        </is>
      </c>
      <c r="AY180" t="inlineStr">
        <is>
          <t>991000902129702656</t>
        </is>
      </c>
      <c r="AZ180" t="inlineStr">
        <is>
          <t>991000902129702656</t>
        </is>
      </c>
      <c r="BA180" t="inlineStr">
        <is>
          <t>2259780690002656</t>
        </is>
      </c>
      <c r="BB180" t="inlineStr">
        <is>
          <t>BOOK</t>
        </is>
      </c>
      <c r="BD180" t="inlineStr">
        <is>
          <t>9780838525968</t>
        </is>
      </c>
      <c r="BE180" t="inlineStr">
        <is>
          <t>30001003830330</t>
        </is>
      </c>
      <c r="BF180" t="inlineStr">
        <is>
          <t>893736019</t>
        </is>
      </c>
    </row>
    <row r="181">
      <c r="A181" t="inlineStr">
        <is>
          <t>No</t>
        </is>
      </c>
      <c r="B181" t="inlineStr">
        <is>
          <t>CUHSL</t>
        </is>
      </c>
      <c r="C181" t="inlineStr">
        <is>
          <t>SHELVES</t>
        </is>
      </c>
      <c r="D181" t="inlineStr">
        <is>
          <t>W20 L433f 2004</t>
        </is>
      </c>
      <c r="E181" t="inlineStr">
        <is>
          <t>0                      W  0020000L  433f        2004</t>
        </is>
      </c>
      <c r="F181" t="inlineStr">
        <is>
          <t>First aid for the match : insider advice from students and residency directors / Tao Le, Vikas Bhushan, Chirag Amin.</t>
        </is>
      </c>
      <c r="H181" t="inlineStr">
        <is>
          <t>No</t>
        </is>
      </c>
      <c r="I181" t="inlineStr">
        <is>
          <t>1</t>
        </is>
      </c>
      <c r="J181" t="inlineStr">
        <is>
          <t>No</t>
        </is>
      </c>
      <c r="K181" t="inlineStr">
        <is>
          <t>Yes</t>
        </is>
      </c>
      <c r="L181" t="inlineStr">
        <is>
          <t>0</t>
        </is>
      </c>
      <c r="M181" t="inlineStr">
        <is>
          <t>Le, Tao</t>
        </is>
      </c>
      <c r="N181" t="inlineStr">
        <is>
          <t>New York : London : McGraw-Hill, 2003.</t>
        </is>
      </c>
      <c r="O181" t="inlineStr">
        <is>
          <t>2003</t>
        </is>
      </c>
      <c r="P181" t="inlineStr">
        <is>
          <t>3rd ed.</t>
        </is>
      </c>
      <c r="Q181" t="inlineStr">
        <is>
          <t>eng</t>
        </is>
      </c>
      <c r="R181" t="inlineStr">
        <is>
          <t>nyu</t>
        </is>
      </c>
      <c r="T181" t="inlineStr">
        <is>
          <t xml:space="preserve">W  </t>
        </is>
      </c>
      <c r="U181" t="n">
        <v>38</v>
      </c>
      <c r="V181" t="n">
        <v>38</v>
      </c>
      <c r="W181" t="inlineStr">
        <is>
          <t>2009-11-12</t>
        </is>
      </c>
      <c r="X181" t="inlineStr">
        <is>
          <t>2009-11-12</t>
        </is>
      </c>
      <c r="Y181" t="inlineStr">
        <is>
          <t>2003-12-16</t>
        </is>
      </c>
      <c r="Z181" t="inlineStr">
        <is>
          <t>2003-12-16</t>
        </is>
      </c>
      <c r="AA181" t="n">
        <v>102</v>
      </c>
      <c r="AB181" t="n">
        <v>86</v>
      </c>
      <c r="AC181" t="n">
        <v>317</v>
      </c>
      <c r="AD181" t="n">
        <v>1</v>
      </c>
      <c r="AE181" t="n">
        <v>3</v>
      </c>
      <c r="AF181" t="n">
        <v>2</v>
      </c>
      <c r="AG181" t="n">
        <v>11</v>
      </c>
      <c r="AH181" t="n">
        <v>0</v>
      </c>
      <c r="AI181" t="n">
        <v>3</v>
      </c>
      <c r="AJ181" t="n">
        <v>1</v>
      </c>
      <c r="AK181" t="n">
        <v>4</v>
      </c>
      <c r="AL181" t="n">
        <v>1</v>
      </c>
      <c r="AM181" t="n">
        <v>3</v>
      </c>
      <c r="AN181" t="n">
        <v>0</v>
      </c>
      <c r="AO181" t="n">
        <v>2</v>
      </c>
      <c r="AP181" t="n">
        <v>0</v>
      </c>
      <c r="AQ181" t="n">
        <v>0</v>
      </c>
      <c r="AR181" t="inlineStr">
        <is>
          <t>No</t>
        </is>
      </c>
      <c r="AS181" t="inlineStr">
        <is>
          <t>No</t>
        </is>
      </c>
      <c r="AU181">
        <f>HYPERLINK("https://creighton-primo.hosted.exlibrisgroup.com/primo-explore/search?tab=default_tab&amp;search_scope=EVERYTHING&amp;vid=01CRU&amp;lang=en_US&amp;offset=0&amp;query=any,contains,991000362069702656","Catalog Record")</f>
        <v/>
      </c>
      <c r="AV181">
        <f>HYPERLINK("http://www.worldcat.org/oclc/54034816","WorldCat Record")</f>
        <v/>
      </c>
      <c r="AW181" t="inlineStr">
        <is>
          <t>793904697:eng</t>
        </is>
      </c>
      <c r="AX181" t="inlineStr">
        <is>
          <t>54034816</t>
        </is>
      </c>
      <c r="AY181" t="inlineStr">
        <is>
          <t>991000362069702656</t>
        </is>
      </c>
      <c r="AZ181" t="inlineStr">
        <is>
          <t>991000362069702656</t>
        </is>
      </c>
      <c r="BA181" t="inlineStr">
        <is>
          <t>2254763760002656</t>
        </is>
      </c>
      <c r="BB181" t="inlineStr">
        <is>
          <t>BOOK</t>
        </is>
      </c>
      <c r="BD181" t="inlineStr">
        <is>
          <t>9780071409292</t>
        </is>
      </c>
      <c r="BE181" t="inlineStr">
        <is>
          <t>30001004507887</t>
        </is>
      </c>
      <c r="BF181" t="inlineStr">
        <is>
          <t>893365366</t>
        </is>
      </c>
    </row>
    <row r="182">
      <c r="A182" t="inlineStr">
        <is>
          <t>No</t>
        </is>
      </c>
      <c r="B182" t="inlineStr">
        <is>
          <t>CUHSL</t>
        </is>
      </c>
      <c r="C182" t="inlineStr">
        <is>
          <t>SHELVES</t>
        </is>
      </c>
      <c r="D182" t="inlineStr">
        <is>
          <t>W20 L4373 2001</t>
        </is>
      </c>
      <c r="E182" t="inlineStr">
        <is>
          <t>0                      W  0020000L  4373        2001</t>
        </is>
      </c>
      <c r="F182" t="inlineStr">
        <is>
          <t>Teaching in your office : a guide to instructing medical students and residents / Patrick Alguire ... [et al.].</t>
        </is>
      </c>
      <c r="H182" t="inlineStr">
        <is>
          <t>No</t>
        </is>
      </c>
      <c r="I182" t="inlineStr">
        <is>
          <t>1</t>
        </is>
      </c>
      <c r="J182" t="inlineStr">
        <is>
          <t>No</t>
        </is>
      </c>
      <c r="K182" t="inlineStr">
        <is>
          <t>No</t>
        </is>
      </c>
      <c r="L182" t="inlineStr">
        <is>
          <t>0</t>
        </is>
      </c>
      <c r="N182" t="inlineStr">
        <is>
          <t>Philadelphia : American College of Physicians--American Society of Internal Medicine, c2001.</t>
        </is>
      </c>
      <c r="O182" t="inlineStr">
        <is>
          <t>2001</t>
        </is>
      </c>
      <c r="Q182" t="inlineStr">
        <is>
          <t>eng</t>
        </is>
      </c>
      <c r="R182" t="inlineStr">
        <is>
          <t>pau</t>
        </is>
      </c>
      <c r="T182" t="inlineStr">
        <is>
          <t xml:space="preserve">W  </t>
        </is>
      </c>
      <c r="U182" t="n">
        <v>0</v>
      </c>
      <c r="V182" t="n">
        <v>0</v>
      </c>
      <c r="W182" t="inlineStr">
        <is>
          <t>2003-03-12</t>
        </is>
      </c>
      <c r="X182" t="inlineStr">
        <is>
          <t>2003-03-12</t>
        </is>
      </c>
      <c r="Y182" t="inlineStr">
        <is>
          <t>2003-03-11</t>
        </is>
      </c>
      <c r="Z182" t="inlineStr">
        <is>
          <t>2003-03-11</t>
        </is>
      </c>
      <c r="AA182" t="n">
        <v>123</v>
      </c>
      <c r="AB182" t="n">
        <v>101</v>
      </c>
      <c r="AC182" t="n">
        <v>186</v>
      </c>
      <c r="AD182" t="n">
        <v>1</v>
      </c>
      <c r="AE182" t="n">
        <v>2</v>
      </c>
      <c r="AF182" t="n">
        <v>1</v>
      </c>
      <c r="AG182" t="n">
        <v>4</v>
      </c>
      <c r="AH182" t="n">
        <v>1</v>
      </c>
      <c r="AI182" t="n">
        <v>1</v>
      </c>
      <c r="AJ182" t="n">
        <v>0</v>
      </c>
      <c r="AK182" t="n">
        <v>1</v>
      </c>
      <c r="AL182" t="n">
        <v>0</v>
      </c>
      <c r="AM182" t="n">
        <v>1</v>
      </c>
      <c r="AN182" t="n">
        <v>0</v>
      </c>
      <c r="AO182" t="n">
        <v>1</v>
      </c>
      <c r="AP182" t="n">
        <v>0</v>
      </c>
      <c r="AQ182" t="n">
        <v>0</v>
      </c>
      <c r="AR182" t="inlineStr">
        <is>
          <t>No</t>
        </is>
      </c>
      <c r="AS182" t="inlineStr">
        <is>
          <t>Yes</t>
        </is>
      </c>
      <c r="AT182">
        <f>HYPERLINK("http://catalog.hathitrust.org/Record/004136015","HathiTrust Record")</f>
        <v/>
      </c>
      <c r="AU182">
        <f>HYPERLINK("https://creighton-primo.hosted.exlibrisgroup.com/primo-explore/search?tab=default_tab&amp;search_scope=EVERYTHING&amp;vid=01CRU&amp;lang=en_US&amp;offset=0&amp;query=any,contains,991000341399702656","Catalog Record")</f>
        <v/>
      </c>
      <c r="AV182">
        <f>HYPERLINK("http://www.worldcat.org/oclc/44040394","WorldCat Record")</f>
        <v/>
      </c>
      <c r="AW182" t="inlineStr">
        <is>
          <t>858207671:eng</t>
        </is>
      </c>
      <c r="AX182" t="inlineStr">
        <is>
          <t>44040394</t>
        </is>
      </c>
      <c r="AY182" t="inlineStr">
        <is>
          <t>991000341399702656</t>
        </is>
      </c>
      <c r="AZ182" t="inlineStr">
        <is>
          <t>991000341399702656</t>
        </is>
      </c>
      <c r="BA182" t="inlineStr">
        <is>
          <t>2256530600002656</t>
        </is>
      </c>
      <c r="BB182" t="inlineStr">
        <is>
          <t>BOOK</t>
        </is>
      </c>
      <c r="BD182" t="inlineStr">
        <is>
          <t>9781930513075</t>
        </is>
      </c>
      <c r="BE182" t="inlineStr">
        <is>
          <t>30001004503431</t>
        </is>
      </c>
      <c r="BF182" t="inlineStr">
        <is>
          <t>893163364</t>
        </is>
      </c>
    </row>
    <row r="183">
      <c r="A183" t="inlineStr">
        <is>
          <t>No</t>
        </is>
      </c>
      <c r="B183" t="inlineStr">
        <is>
          <t>CUHSL</t>
        </is>
      </c>
      <c r="C183" t="inlineStr">
        <is>
          <t>SHELVES</t>
        </is>
      </c>
      <c r="D183" t="inlineStr">
        <is>
          <t>W 20 M284m 1987</t>
        </is>
      </c>
      <c r="E183" t="inlineStr">
        <is>
          <t>0                      W  0020000M  284m        1987</t>
        </is>
      </c>
      <c r="F183" t="inlineStr">
        <is>
          <t>Medicine, preserving the passion / Phil R. Manning, Lois DeBakey.</t>
        </is>
      </c>
      <c r="H183" t="inlineStr">
        <is>
          <t>No</t>
        </is>
      </c>
      <c r="I183" t="inlineStr">
        <is>
          <t>1</t>
        </is>
      </c>
      <c r="J183" t="inlineStr">
        <is>
          <t>No</t>
        </is>
      </c>
      <c r="K183" t="inlineStr">
        <is>
          <t>No</t>
        </is>
      </c>
      <c r="L183" t="inlineStr">
        <is>
          <t>0</t>
        </is>
      </c>
      <c r="M183" t="inlineStr">
        <is>
          <t>Manning, Phil R., 1921-</t>
        </is>
      </c>
      <c r="N183" t="inlineStr">
        <is>
          <t>New York : Springer-Verlag, c1987.</t>
        </is>
      </c>
      <c r="O183" t="inlineStr">
        <is>
          <t>1987</t>
        </is>
      </c>
      <c r="Q183" t="inlineStr">
        <is>
          <t>eng</t>
        </is>
      </c>
      <c r="R183" t="inlineStr">
        <is>
          <t>nyu</t>
        </is>
      </c>
      <c r="T183" t="inlineStr">
        <is>
          <t xml:space="preserve">W  </t>
        </is>
      </c>
      <c r="U183" t="n">
        <v>3</v>
      </c>
      <c r="V183" t="n">
        <v>3</v>
      </c>
      <c r="W183" t="inlineStr">
        <is>
          <t>1988-09-08</t>
        </is>
      </c>
      <c r="X183" t="inlineStr">
        <is>
          <t>1988-09-08</t>
        </is>
      </c>
      <c r="Y183" t="inlineStr">
        <is>
          <t>1988-03-19</t>
        </is>
      </c>
      <c r="Z183" t="inlineStr">
        <is>
          <t>1988-03-19</t>
        </is>
      </c>
      <c r="AA183" t="n">
        <v>211</v>
      </c>
      <c r="AB183" t="n">
        <v>179</v>
      </c>
      <c r="AC183" t="n">
        <v>203</v>
      </c>
      <c r="AD183" t="n">
        <v>1</v>
      </c>
      <c r="AE183" t="n">
        <v>1</v>
      </c>
      <c r="AF183" t="n">
        <v>1</v>
      </c>
      <c r="AG183" t="n">
        <v>1</v>
      </c>
      <c r="AH183" t="n">
        <v>0</v>
      </c>
      <c r="AI183" t="n">
        <v>0</v>
      </c>
      <c r="AJ183" t="n">
        <v>0</v>
      </c>
      <c r="AK183" t="n">
        <v>0</v>
      </c>
      <c r="AL183" t="n">
        <v>1</v>
      </c>
      <c r="AM183" t="n">
        <v>1</v>
      </c>
      <c r="AN183" t="n">
        <v>0</v>
      </c>
      <c r="AO183" t="n">
        <v>0</v>
      </c>
      <c r="AP183" t="n">
        <v>0</v>
      </c>
      <c r="AQ183" t="n">
        <v>0</v>
      </c>
      <c r="AR183" t="inlineStr">
        <is>
          <t>No</t>
        </is>
      </c>
      <c r="AS183" t="inlineStr">
        <is>
          <t>Yes</t>
        </is>
      </c>
      <c r="AT183">
        <f>HYPERLINK("http://catalog.hathitrust.org/Record/000858862","HathiTrust Record")</f>
        <v/>
      </c>
      <c r="AU183">
        <f>HYPERLINK("https://creighton-primo.hosted.exlibrisgroup.com/primo-explore/search?tab=default_tab&amp;search_scope=EVERYTHING&amp;vid=01CRU&amp;lang=en_US&amp;offset=0&amp;query=any,contains,991001175459702656","Catalog Record")</f>
        <v/>
      </c>
      <c r="AV183">
        <f>HYPERLINK("http://www.worldcat.org/oclc/13580831","WorldCat Record")</f>
        <v/>
      </c>
      <c r="AW183" t="inlineStr">
        <is>
          <t>3755219959:eng</t>
        </is>
      </c>
      <c r="AX183" t="inlineStr">
        <is>
          <t>13580831</t>
        </is>
      </c>
      <c r="AY183" t="inlineStr">
        <is>
          <t>991001175459702656</t>
        </is>
      </c>
      <c r="AZ183" t="inlineStr">
        <is>
          <t>991001175459702656</t>
        </is>
      </c>
      <c r="BA183" t="inlineStr">
        <is>
          <t>2257646060002656</t>
        </is>
      </c>
      <c r="BB183" t="inlineStr">
        <is>
          <t>BOOK</t>
        </is>
      </c>
      <c r="BD183" t="inlineStr">
        <is>
          <t>9780387963617</t>
        </is>
      </c>
      <c r="BE183" t="inlineStr">
        <is>
          <t>30001000975872</t>
        </is>
      </c>
      <c r="BF183" t="inlineStr">
        <is>
          <t>893727316</t>
        </is>
      </c>
    </row>
    <row r="184">
      <c r="A184" t="inlineStr">
        <is>
          <t>No</t>
        </is>
      </c>
      <c r="B184" t="inlineStr">
        <is>
          <t>CUHSL</t>
        </is>
      </c>
      <c r="C184" t="inlineStr">
        <is>
          <t>SHELVES</t>
        </is>
      </c>
      <c r="D184" t="inlineStr">
        <is>
          <t>W 20 M648m 1996-97</t>
        </is>
      </c>
      <c r="E184" t="inlineStr">
        <is>
          <t>0                      W  0020000M  648m        1996                                        -97</t>
        </is>
      </c>
      <c r="F184" t="inlineStr">
        <is>
          <t>1996-1997 medical student's guide to successful residency matching / Lee T. Miller, Leigh G. Donowitz.</t>
        </is>
      </c>
      <c r="H184" t="inlineStr">
        <is>
          <t>No</t>
        </is>
      </c>
      <c r="I184" t="inlineStr">
        <is>
          <t>1</t>
        </is>
      </c>
      <c r="J184" t="inlineStr">
        <is>
          <t>No</t>
        </is>
      </c>
      <c r="K184" t="inlineStr">
        <is>
          <t>No</t>
        </is>
      </c>
      <c r="L184" t="inlineStr">
        <is>
          <t>0</t>
        </is>
      </c>
      <c r="M184" t="inlineStr">
        <is>
          <t>Miller, Lee T. (Lee Todd)</t>
        </is>
      </c>
      <c r="N184" t="inlineStr">
        <is>
          <t>Baltimore : Williams &amp; Wilkins, c1996.</t>
        </is>
      </c>
      <c r="O184" t="inlineStr">
        <is>
          <t>1996</t>
        </is>
      </c>
      <c r="Q184" t="inlineStr">
        <is>
          <t>eng</t>
        </is>
      </c>
      <c r="R184" t="inlineStr">
        <is>
          <t>mdu</t>
        </is>
      </c>
      <c r="T184" t="inlineStr">
        <is>
          <t xml:space="preserve">W  </t>
        </is>
      </c>
      <c r="U184" t="n">
        <v>10</v>
      </c>
      <c r="V184" t="n">
        <v>10</v>
      </c>
      <c r="W184" t="inlineStr">
        <is>
          <t>2003-08-25</t>
        </is>
      </c>
      <c r="X184" t="inlineStr">
        <is>
          <t>2003-08-25</t>
        </is>
      </c>
      <c r="Y184" t="inlineStr">
        <is>
          <t>1997-02-10</t>
        </is>
      </c>
      <c r="Z184" t="inlineStr">
        <is>
          <t>1997-02-10</t>
        </is>
      </c>
      <c r="AA184" t="n">
        <v>29</v>
      </c>
      <c r="AB184" t="n">
        <v>26</v>
      </c>
      <c r="AC184" t="n">
        <v>26</v>
      </c>
      <c r="AD184" t="n">
        <v>1</v>
      </c>
      <c r="AE184" t="n">
        <v>1</v>
      </c>
      <c r="AF184" t="n">
        <v>1</v>
      </c>
      <c r="AG184" t="n">
        <v>1</v>
      </c>
      <c r="AH184" t="n">
        <v>0</v>
      </c>
      <c r="AI184" t="n">
        <v>0</v>
      </c>
      <c r="AJ184" t="n">
        <v>0</v>
      </c>
      <c r="AK184" t="n">
        <v>0</v>
      </c>
      <c r="AL184" t="n">
        <v>1</v>
      </c>
      <c r="AM184" t="n">
        <v>1</v>
      </c>
      <c r="AN184" t="n">
        <v>0</v>
      </c>
      <c r="AO184" t="n">
        <v>0</v>
      </c>
      <c r="AP184" t="n">
        <v>0</v>
      </c>
      <c r="AQ184" t="n">
        <v>0</v>
      </c>
      <c r="AR184" t="inlineStr">
        <is>
          <t>No</t>
        </is>
      </c>
      <c r="AS184" t="inlineStr">
        <is>
          <t>No</t>
        </is>
      </c>
      <c r="AU184">
        <f>HYPERLINK("https://creighton-primo.hosted.exlibrisgroup.com/primo-explore/search?tab=default_tab&amp;search_scope=EVERYTHING&amp;vid=01CRU&amp;lang=en_US&amp;offset=0&amp;query=any,contains,991000836869702656","Catalog Record")</f>
        <v/>
      </c>
      <c r="AV184">
        <f>HYPERLINK("http://www.worldcat.org/oclc/34575173","WorldCat Record")</f>
        <v/>
      </c>
      <c r="AW184" t="inlineStr">
        <is>
          <t>39858776:eng</t>
        </is>
      </c>
      <c r="AX184" t="inlineStr">
        <is>
          <t>34575173</t>
        </is>
      </c>
      <c r="AY184" t="inlineStr">
        <is>
          <t>991000836869702656</t>
        </is>
      </c>
      <c r="AZ184" t="inlineStr">
        <is>
          <t>991000836869702656</t>
        </is>
      </c>
      <c r="BA184" t="inlineStr">
        <is>
          <t>2271433840002656</t>
        </is>
      </c>
      <c r="BB184" t="inlineStr">
        <is>
          <t>BOOK</t>
        </is>
      </c>
      <c r="BD184" t="inlineStr">
        <is>
          <t>9780683180435</t>
        </is>
      </c>
      <c r="BE184" t="inlineStr">
        <is>
          <t>30001003442201</t>
        </is>
      </c>
      <c r="BF184" t="inlineStr">
        <is>
          <t>893820604</t>
        </is>
      </c>
    </row>
    <row r="185">
      <c r="A185" t="inlineStr">
        <is>
          <t>No</t>
        </is>
      </c>
      <c r="B185" t="inlineStr">
        <is>
          <t>CUHSL</t>
        </is>
      </c>
      <c r="C185" t="inlineStr">
        <is>
          <t>SHELVES</t>
        </is>
      </c>
      <c r="D185" t="inlineStr">
        <is>
          <t>W 20 M648n 1999-2000</t>
        </is>
      </c>
      <c r="E185" t="inlineStr">
        <is>
          <t>0                      W  0020000M  648n        1999                                        -2000</t>
        </is>
      </c>
      <c r="F185" t="inlineStr">
        <is>
          <t>1999-2000 medical student's guide to successful residency matching / Lee T. Miller, Leigh G. Donowitz.</t>
        </is>
      </c>
      <c r="H185" t="inlineStr">
        <is>
          <t>No</t>
        </is>
      </c>
      <c r="I185" t="inlineStr">
        <is>
          <t>1</t>
        </is>
      </c>
      <c r="J185" t="inlineStr">
        <is>
          <t>Yes</t>
        </is>
      </c>
      <c r="K185" t="inlineStr">
        <is>
          <t>No</t>
        </is>
      </c>
      <c r="L185" t="inlineStr">
        <is>
          <t>0</t>
        </is>
      </c>
      <c r="M185" t="inlineStr">
        <is>
          <t>Miller, Lee T. (Lee Todd)</t>
        </is>
      </c>
      <c r="N185" t="inlineStr">
        <is>
          <t>Philadelphia : Lippincott Williams &amp; Wilkins, c1999.</t>
        </is>
      </c>
      <c r="O185" t="inlineStr">
        <is>
          <t>1999</t>
        </is>
      </c>
      <c r="Q185" t="inlineStr">
        <is>
          <t>eng</t>
        </is>
      </c>
      <c r="R185" t="inlineStr">
        <is>
          <t>pau</t>
        </is>
      </c>
      <c r="T185" t="inlineStr">
        <is>
          <t xml:space="preserve">W  </t>
        </is>
      </c>
      <c r="U185" t="n">
        <v>24</v>
      </c>
      <c r="V185" t="n">
        <v>27</v>
      </c>
      <c r="W185" t="inlineStr">
        <is>
          <t>2007-02-02</t>
        </is>
      </c>
      <c r="X185" t="inlineStr">
        <is>
          <t>2009-11-12</t>
        </is>
      </c>
      <c r="Y185" t="inlineStr">
        <is>
          <t>1999-11-18</t>
        </is>
      </c>
      <c r="Z185" t="inlineStr">
        <is>
          <t>1999-11-18</t>
        </is>
      </c>
      <c r="AA185" t="n">
        <v>23</v>
      </c>
      <c r="AB185" t="n">
        <v>22</v>
      </c>
      <c r="AC185" t="n">
        <v>24</v>
      </c>
      <c r="AD185" t="n">
        <v>1</v>
      </c>
      <c r="AE185" t="n">
        <v>1</v>
      </c>
      <c r="AF185" t="n">
        <v>0</v>
      </c>
      <c r="AG185" t="n">
        <v>0</v>
      </c>
      <c r="AH185" t="n">
        <v>0</v>
      </c>
      <c r="AI185" t="n">
        <v>0</v>
      </c>
      <c r="AJ185" t="n">
        <v>0</v>
      </c>
      <c r="AK185" t="n">
        <v>0</v>
      </c>
      <c r="AL185" t="n">
        <v>0</v>
      </c>
      <c r="AM185" t="n">
        <v>0</v>
      </c>
      <c r="AN185" t="n">
        <v>0</v>
      </c>
      <c r="AO185" t="n">
        <v>0</v>
      </c>
      <c r="AP185" t="n">
        <v>0</v>
      </c>
      <c r="AQ185" t="n">
        <v>0</v>
      </c>
      <c r="AR185" t="inlineStr">
        <is>
          <t>No</t>
        </is>
      </c>
      <c r="AS185" t="inlineStr">
        <is>
          <t>Yes</t>
        </is>
      </c>
      <c r="AT185">
        <f>HYPERLINK("http://catalog.hathitrust.org/Record/010662339","HathiTrust Record")</f>
        <v/>
      </c>
      <c r="AU185">
        <f>HYPERLINK("https://creighton-primo.hosted.exlibrisgroup.com/primo-explore/search?tab=default_tab&amp;search_scope=EVERYTHING&amp;vid=01CRU&amp;lang=en_US&amp;offset=0&amp;query=any,contains,991001409269702656","Catalog Record")</f>
        <v/>
      </c>
      <c r="AV185">
        <f>HYPERLINK("http://www.worldcat.org/oclc/41512129","WorldCat Record")</f>
        <v/>
      </c>
      <c r="AW185" t="inlineStr">
        <is>
          <t>13542888:eng</t>
        </is>
      </c>
      <c r="AX185" t="inlineStr">
        <is>
          <t>41512129</t>
        </is>
      </c>
      <c r="AY185" t="inlineStr">
        <is>
          <t>991001409269702656</t>
        </is>
      </c>
      <c r="AZ185" t="inlineStr">
        <is>
          <t>991001409269702656</t>
        </is>
      </c>
      <c r="BA185" t="inlineStr">
        <is>
          <t>2255827530002656</t>
        </is>
      </c>
      <c r="BB185" t="inlineStr">
        <is>
          <t>BOOK</t>
        </is>
      </c>
      <c r="BD185" t="inlineStr">
        <is>
          <t>9780781721639</t>
        </is>
      </c>
      <c r="BE185" t="inlineStr">
        <is>
          <t>30001003830371</t>
        </is>
      </c>
      <c r="BF185" t="inlineStr">
        <is>
          <t>893552472</t>
        </is>
      </c>
    </row>
    <row r="186">
      <c r="A186" t="inlineStr">
        <is>
          <t>No</t>
        </is>
      </c>
      <c r="B186" t="inlineStr">
        <is>
          <t>CUHSL</t>
        </is>
      </c>
      <c r="C186" t="inlineStr">
        <is>
          <t>SHELVES</t>
        </is>
      </c>
      <c r="D186" t="inlineStr">
        <is>
          <t>W 20 M648n 1999-2000</t>
        </is>
      </c>
      <c r="E186" t="inlineStr">
        <is>
          <t>0                      W  0020000M  648n        1999                                        -2000</t>
        </is>
      </c>
      <c r="F186" t="inlineStr">
        <is>
          <t>1999-2000 medical student's guide to successful residency matching / Lee T. Miller, Leigh G. Donowitz.</t>
        </is>
      </c>
      <c r="H186" t="inlineStr">
        <is>
          <t>No</t>
        </is>
      </c>
      <c r="I186" t="inlineStr">
        <is>
          <t>2</t>
        </is>
      </c>
      <c r="J186" t="inlineStr">
        <is>
          <t>Yes</t>
        </is>
      </c>
      <c r="K186" t="inlineStr">
        <is>
          <t>No</t>
        </is>
      </c>
      <c r="L186" t="inlineStr">
        <is>
          <t>0</t>
        </is>
      </c>
      <c r="M186" t="inlineStr">
        <is>
          <t>Miller, Lee T. (Lee Todd)</t>
        </is>
      </c>
      <c r="N186" t="inlineStr">
        <is>
          <t>Philadelphia : Lippincott Williams &amp; Wilkins, c1999.</t>
        </is>
      </c>
      <c r="O186" t="inlineStr">
        <is>
          <t>1999</t>
        </is>
      </c>
      <c r="Q186" t="inlineStr">
        <is>
          <t>eng</t>
        </is>
      </c>
      <c r="R186" t="inlineStr">
        <is>
          <t>pau</t>
        </is>
      </c>
      <c r="T186" t="inlineStr">
        <is>
          <t xml:space="preserve">W  </t>
        </is>
      </c>
      <c r="U186" t="n">
        <v>3</v>
      </c>
      <c r="V186" t="n">
        <v>27</v>
      </c>
      <c r="W186" t="inlineStr">
        <is>
          <t>2009-11-12</t>
        </is>
      </c>
      <c r="X186" t="inlineStr">
        <is>
          <t>2009-11-12</t>
        </is>
      </c>
      <c r="Y186" t="inlineStr">
        <is>
          <t>1999-11-18</t>
        </is>
      </c>
      <c r="Z186" t="inlineStr">
        <is>
          <t>1999-11-18</t>
        </is>
      </c>
      <c r="AA186" t="n">
        <v>23</v>
      </c>
      <c r="AB186" t="n">
        <v>22</v>
      </c>
      <c r="AC186" t="n">
        <v>24</v>
      </c>
      <c r="AD186" t="n">
        <v>1</v>
      </c>
      <c r="AE186" t="n">
        <v>1</v>
      </c>
      <c r="AF186" t="n">
        <v>0</v>
      </c>
      <c r="AG186" t="n">
        <v>0</v>
      </c>
      <c r="AH186" t="n">
        <v>0</v>
      </c>
      <c r="AI186" t="n">
        <v>0</v>
      </c>
      <c r="AJ186" t="n">
        <v>0</v>
      </c>
      <c r="AK186" t="n">
        <v>0</v>
      </c>
      <c r="AL186" t="n">
        <v>0</v>
      </c>
      <c r="AM186" t="n">
        <v>0</v>
      </c>
      <c r="AN186" t="n">
        <v>0</v>
      </c>
      <c r="AO186" t="n">
        <v>0</v>
      </c>
      <c r="AP186" t="n">
        <v>0</v>
      </c>
      <c r="AQ186" t="n">
        <v>0</v>
      </c>
      <c r="AR186" t="inlineStr">
        <is>
          <t>No</t>
        </is>
      </c>
      <c r="AS186" t="inlineStr">
        <is>
          <t>Yes</t>
        </is>
      </c>
      <c r="AT186">
        <f>HYPERLINK("http://catalog.hathitrust.org/Record/010662339","HathiTrust Record")</f>
        <v/>
      </c>
      <c r="AU186">
        <f>HYPERLINK("https://creighton-primo.hosted.exlibrisgroup.com/primo-explore/search?tab=default_tab&amp;search_scope=EVERYTHING&amp;vid=01CRU&amp;lang=en_US&amp;offset=0&amp;query=any,contains,991001409269702656","Catalog Record")</f>
        <v/>
      </c>
      <c r="AV186">
        <f>HYPERLINK("http://www.worldcat.org/oclc/41512129","WorldCat Record")</f>
        <v/>
      </c>
      <c r="AW186" t="inlineStr">
        <is>
          <t>13542888:eng</t>
        </is>
      </c>
      <c r="AX186" t="inlineStr">
        <is>
          <t>41512129</t>
        </is>
      </c>
      <c r="AY186" t="inlineStr">
        <is>
          <t>991001409269702656</t>
        </is>
      </c>
      <c r="AZ186" t="inlineStr">
        <is>
          <t>991001409269702656</t>
        </is>
      </c>
      <c r="BA186" t="inlineStr">
        <is>
          <t>2255827530002656</t>
        </is>
      </c>
      <c r="BB186" t="inlineStr">
        <is>
          <t>BOOK</t>
        </is>
      </c>
      <c r="BD186" t="inlineStr">
        <is>
          <t>9780781721639</t>
        </is>
      </c>
      <c r="BE186" t="inlineStr">
        <is>
          <t>30001003830355</t>
        </is>
      </c>
      <c r="BF186" t="inlineStr">
        <is>
          <t>893552471</t>
        </is>
      </c>
    </row>
    <row r="187">
      <c r="A187" t="inlineStr">
        <is>
          <t>No</t>
        </is>
      </c>
      <c r="B187" t="inlineStr">
        <is>
          <t>CUHSL</t>
        </is>
      </c>
      <c r="C187" t="inlineStr">
        <is>
          <t>SHELVES</t>
        </is>
      </c>
      <c r="D187" t="inlineStr">
        <is>
          <t>W 20 T136 1992</t>
        </is>
      </c>
      <c r="E187" t="inlineStr">
        <is>
          <t>0                      W  0020000T  136         1992</t>
        </is>
      </c>
      <c r="F187" t="inlineStr">
        <is>
          <t>Taking charge of graduate medical education : to meet the nation's needs in the 21st century / edited by Thomas Q. Morris and Coimbra M. Sirica.</t>
        </is>
      </c>
      <c r="H187" t="inlineStr">
        <is>
          <t>No</t>
        </is>
      </c>
      <c r="I187" t="inlineStr">
        <is>
          <t>1</t>
        </is>
      </c>
      <c r="J187" t="inlineStr">
        <is>
          <t>No</t>
        </is>
      </c>
      <c r="K187" t="inlineStr">
        <is>
          <t>No</t>
        </is>
      </c>
      <c r="L187" t="inlineStr">
        <is>
          <t>0</t>
        </is>
      </c>
      <c r="N187" t="inlineStr">
        <is>
          <t>New York : Josiah Macy, Jr. Foundation, c1993.</t>
        </is>
      </c>
      <c r="O187" t="inlineStr">
        <is>
          <t>1993</t>
        </is>
      </c>
      <c r="Q187" t="inlineStr">
        <is>
          <t>eng</t>
        </is>
      </c>
      <c r="R187" t="inlineStr">
        <is>
          <t>nyu</t>
        </is>
      </c>
      <c r="T187" t="inlineStr">
        <is>
          <t xml:space="preserve">W  </t>
        </is>
      </c>
      <c r="U187" t="n">
        <v>2</v>
      </c>
      <c r="V187" t="n">
        <v>2</v>
      </c>
      <c r="W187" t="inlineStr">
        <is>
          <t>1993-06-09</t>
        </is>
      </c>
      <c r="X187" t="inlineStr">
        <is>
          <t>1993-06-09</t>
        </is>
      </c>
      <c r="Y187" t="inlineStr">
        <is>
          <t>1993-06-09</t>
        </is>
      </c>
      <c r="Z187" t="inlineStr">
        <is>
          <t>1993-06-09</t>
        </is>
      </c>
      <c r="AA187" t="n">
        <v>88</v>
      </c>
      <c r="AB187" t="n">
        <v>84</v>
      </c>
      <c r="AC187" t="n">
        <v>86</v>
      </c>
      <c r="AD187" t="n">
        <v>1</v>
      </c>
      <c r="AE187" t="n">
        <v>1</v>
      </c>
      <c r="AF187" t="n">
        <v>1</v>
      </c>
      <c r="AG187" t="n">
        <v>1</v>
      </c>
      <c r="AH187" t="n">
        <v>0</v>
      </c>
      <c r="AI187" t="n">
        <v>0</v>
      </c>
      <c r="AJ187" t="n">
        <v>1</v>
      </c>
      <c r="AK187" t="n">
        <v>1</v>
      </c>
      <c r="AL187" t="n">
        <v>0</v>
      </c>
      <c r="AM187" t="n">
        <v>0</v>
      </c>
      <c r="AN187" t="n">
        <v>0</v>
      </c>
      <c r="AO187" t="n">
        <v>0</v>
      </c>
      <c r="AP187" t="n">
        <v>0</v>
      </c>
      <c r="AQ187" t="n">
        <v>0</v>
      </c>
      <c r="AR187" t="inlineStr">
        <is>
          <t>No</t>
        </is>
      </c>
      <c r="AS187" t="inlineStr">
        <is>
          <t>Yes</t>
        </is>
      </c>
      <c r="AT187">
        <f>HYPERLINK("http://catalog.hathitrust.org/Record/002644034","HathiTrust Record")</f>
        <v/>
      </c>
      <c r="AU187">
        <f>HYPERLINK("https://creighton-primo.hosted.exlibrisgroup.com/primo-explore/search?tab=default_tab&amp;search_scope=EVERYTHING&amp;vid=01CRU&amp;lang=en_US&amp;offset=0&amp;query=any,contains,991001509009702656","Catalog Record")</f>
        <v/>
      </c>
      <c r="AV187">
        <f>HYPERLINK("http://www.worldcat.org/oclc/28185674","WorldCat Record")</f>
        <v/>
      </c>
      <c r="AW187" t="inlineStr">
        <is>
          <t>30804411:eng</t>
        </is>
      </c>
      <c r="AX187" t="inlineStr">
        <is>
          <t>28185674</t>
        </is>
      </c>
      <c r="AY187" t="inlineStr">
        <is>
          <t>991001509009702656</t>
        </is>
      </c>
      <c r="AZ187" t="inlineStr">
        <is>
          <t>991001509009702656</t>
        </is>
      </c>
      <c r="BA187" t="inlineStr">
        <is>
          <t>2269129030002656</t>
        </is>
      </c>
      <c r="BB187" t="inlineStr">
        <is>
          <t>BOOK</t>
        </is>
      </c>
      <c r="BE187" t="inlineStr">
        <is>
          <t>30001002600387</t>
        </is>
      </c>
      <c r="BF187" t="inlineStr">
        <is>
          <t>893832249</t>
        </is>
      </c>
    </row>
    <row r="188">
      <c r="A188" t="inlineStr">
        <is>
          <t>No</t>
        </is>
      </c>
      <c r="B188" t="inlineStr">
        <is>
          <t>CUHSL</t>
        </is>
      </c>
      <c r="C188" t="inlineStr">
        <is>
          <t>SHELVES</t>
        </is>
      </c>
      <c r="D188" t="inlineStr">
        <is>
          <t>W 20 W615c 1988</t>
        </is>
      </c>
      <c r="E188" t="inlineStr">
        <is>
          <t>0                      W  0020000W  615c        1988</t>
        </is>
      </c>
      <c r="F188" t="inlineStr">
        <is>
          <t>The chief resident as manager / Neal Whitman, Elaine Weiss, Lawrence Lutz ; with contributions by C. Brooklyn Derr, Tom Miller ; foreword by David N. Sundwall ; preface by F. Marian Bishop.</t>
        </is>
      </c>
      <c r="H188" t="inlineStr">
        <is>
          <t>No</t>
        </is>
      </c>
      <c r="I188" t="inlineStr">
        <is>
          <t>1</t>
        </is>
      </c>
      <c r="J188" t="inlineStr">
        <is>
          <t>No</t>
        </is>
      </c>
      <c r="K188" t="inlineStr">
        <is>
          <t>No</t>
        </is>
      </c>
      <c r="L188" t="inlineStr">
        <is>
          <t>0</t>
        </is>
      </c>
      <c r="M188" t="inlineStr">
        <is>
          <t>Whitman, Neal.</t>
        </is>
      </c>
      <c r="N188" t="inlineStr">
        <is>
          <t>Salt Lake City : University of Utah School of Medicine, c1988.</t>
        </is>
      </c>
      <c r="O188" t="inlineStr">
        <is>
          <t>1988</t>
        </is>
      </c>
      <c r="Q188" t="inlineStr">
        <is>
          <t>eng</t>
        </is>
      </c>
      <c r="R188" t="inlineStr">
        <is>
          <t>utu</t>
        </is>
      </c>
      <c r="T188" t="inlineStr">
        <is>
          <t xml:space="preserve">W  </t>
        </is>
      </c>
      <c r="U188" t="n">
        <v>5</v>
      </c>
      <c r="V188" t="n">
        <v>5</v>
      </c>
      <c r="W188" t="inlineStr">
        <is>
          <t>1989-01-17</t>
        </is>
      </c>
      <c r="X188" t="inlineStr">
        <is>
          <t>1989-01-17</t>
        </is>
      </c>
      <c r="Y188" t="inlineStr">
        <is>
          <t>1988-05-07</t>
        </is>
      </c>
      <c r="Z188" t="inlineStr">
        <is>
          <t>1988-05-07</t>
        </is>
      </c>
      <c r="AA188" t="n">
        <v>38</v>
      </c>
      <c r="AB188" t="n">
        <v>37</v>
      </c>
      <c r="AC188" t="n">
        <v>55</v>
      </c>
      <c r="AD188" t="n">
        <v>1</v>
      </c>
      <c r="AE188" t="n">
        <v>1</v>
      </c>
      <c r="AF188" t="n">
        <v>0</v>
      </c>
      <c r="AG188" t="n">
        <v>0</v>
      </c>
      <c r="AH188" t="n">
        <v>0</v>
      </c>
      <c r="AI188" t="n">
        <v>0</v>
      </c>
      <c r="AJ188" t="n">
        <v>0</v>
      </c>
      <c r="AK188" t="n">
        <v>0</v>
      </c>
      <c r="AL188" t="n">
        <v>0</v>
      </c>
      <c r="AM188" t="n">
        <v>0</v>
      </c>
      <c r="AN188" t="n">
        <v>0</v>
      </c>
      <c r="AO188" t="n">
        <v>0</v>
      </c>
      <c r="AP188" t="n">
        <v>0</v>
      </c>
      <c r="AQ188" t="n">
        <v>0</v>
      </c>
      <c r="AR188" t="inlineStr">
        <is>
          <t>No</t>
        </is>
      </c>
      <c r="AS188" t="inlineStr">
        <is>
          <t>Yes</t>
        </is>
      </c>
      <c r="AT188">
        <f>HYPERLINK("http://catalog.hathitrust.org/Record/001540353","HathiTrust Record")</f>
        <v/>
      </c>
      <c r="AU188">
        <f>HYPERLINK("https://creighton-primo.hosted.exlibrisgroup.com/primo-explore/search?tab=default_tab&amp;search_scope=EVERYTHING&amp;vid=01CRU&amp;lang=en_US&amp;offset=0&amp;query=any,contains,991001190439702656","Catalog Record")</f>
        <v/>
      </c>
      <c r="AV188">
        <f>HYPERLINK("http://www.worldcat.org/oclc/18133203","WorldCat Record")</f>
        <v/>
      </c>
      <c r="AW188" t="inlineStr">
        <is>
          <t>15114599:eng</t>
        </is>
      </c>
      <c r="AX188" t="inlineStr">
        <is>
          <t>18133203</t>
        </is>
      </c>
      <c r="AY188" t="inlineStr">
        <is>
          <t>991001190439702656</t>
        </is>
      </c>
      <c r="AZ188" t="inlineStr">
        <is>
          <t>991001190439702656</t>
        </is>
      </c>
      <c r="BA188" t="inlineStr">
        <is>
          <t>2261597820002656</t>
        </is>
      </c>
      <c r="BB188" t="inlineStr">
        <is>
          <t>BOOK</t>
        </is>
      </c>
      <c r="BE188" t="inlineStr">
        <is>
          <t>30001000979205</t>
        </is>
      </c>
      <c r="BF188" t="inlineStr">
        <is>
          <t>893168057</t>
        </is>
      </c>
    </row>
    <row r="189">
      <c r="A189" t="inlineStr">
        <is>
          <t>No</t>
        </is>
      </c>
      <c r="B189" t="inlineStr">
        <is>
          <t>CUHSL</t>
        </is>
      </c>
      <c r="C189" t="inlineStr">
        <is>
          <t>SHELVES</t>
        </is>
      </c>
      <c r="D189" t="inlineStr">
        <is>
          <t>W20.5 A395 2002</t>
        </is>
      </c>
      <c r="E189" t="inlineStr">
        <is>
          <t>0                      W  0020500A  395         2002</t>
        </is>
      </c>
      <c r="F189" t="inlineStr">
        <is>
          <t>Making sense of critical appraisal / Olajide Ajetunmobi.</t>
        </is>
      </c>
      <c r="H189" t="inlineStr">
        <is>
          <t>No</t>
        </is>
      </c>
      <c r="I189" t="inlineStr">
        <is>
          <t>1</t>
        </is>
      </c>
      <c r="J189" t="inlineStr">
        <is>
          <t>No</t>
        </is>
      </c>
      <c r="K189" t="inlineStr">
        <is>
          <t>No</t>
        </is>
      </c>
      <c r="L189" t="inlineStr">
        <is>
          <t>0</t>
        </is>
      </c>
      <c r="M189" t="inlineStr">
        <is>
          <t>Ajetunmobi, O. (Olajide)</t>
        </is>
      </c>
      <c r="N189" t="inlineStr">
        <is>
          <t>London : Arnold, 2002.</t>
        </is>
      </c>
      <c r="O189" t="inlineStr">
        <is>
          <t>2002</t>
        </is>
      </c>
      <c r="Q189" t="inlineStr">
        <is>
          <t>eng</t>
        </is>
      </c>
      <c r="R189" t="inlineStr">
        <is>
          <t>enk</t>
        </is>
      </c>
      <c r="T189" t="inlineStr">
        <is>
          <t xml:space="preserve">W  </t>
        </is>
      </c>
      <c r="U189" t="n">
        <v>4</v>
      </c>
      <c r="V189" t="n">
        <v>4</v>
      </c>
      <c r="W189" t="inlineStr">
        <is>
          <t>2005-03-04</t>
        </is>
      </c>
      <c r="X189" t="inlineStr">
        <is>
          <t>2005-03-04</t>
        </is>
      </c>
      <c r="Y189" t="inlineStr">
        <is>
          <t>2003-01-30</t>
        </is>
      </c>
      <c r="Z189" t="inlineStr">
        <is>
          <t>2003-01-30</t>
        </is>
      </c>
      <c r="AA189" t="n">
        <v>190</v>
      </c>
      <c r="AB189" t="n">
        <v>68</v>
      </c>
      <c r="AC189" t="n">
        <v>97</v>
      </c>
      <c r="AD189" t="n">
        <v>1</v>
      </c>
      <c r="AE189" t="n">
        <v>1</v>
      </c>
      <c r="AF189" t="n">
        <v>1</v>
      </c>
      <c r="AG189" t="n">
        <v>1</v>
      </c>
      <c r="AH189" t="n">
        <v>0</v>
      </c>
      <c r="AI189" t="n">
        <v>0</v>
      </c>
      <c r="AJ189" t="n">
        <v>0</v>
      </c>
      <c r="AK189" t="n">
        <v>0</v>
      </c>
      <c r="AL189" t="n">
        <v>1</v>
      </c>
      <c r="AM189" t="n">
        <v>1</v>
      </c>
      <c r="AN189" t="n">
        <v>0</v>
      </c>
      <c r="AO189" t="n">
        <v>0</v>
      </c>
      <c r="AP189" t="n">
        <v>0</v>
      </c>
      <c r="AQ189" t="n">
        <v>0</v>
      </c>
      <c r="AR189" t="inlineStr">
        <is>
          <t>No</t>
        </is>
      </c>
      <c r="AS189" t="inlineStr">
        <is>
          <t>No</t>
        </is>
      </c>
      <c r="AU189">
        <f>HYPERLINK("https://creighton-primo.hosted.exlibrisgroup.com/primo-explore/search?tab=default_tab&amp;search_scope=EVERYTHING&amp;vid=01CRU&amp;lang=en_US&amp;offset=0&amp;query=any,contains,991000338029702656","Catalog Record")</f>
        <v/>
      </c>
      <c r="AV189">
        <f>HYPERLINK("http://www.worldcat.org/oclc/52086251","WorldCat Record")</f>
        <v/>
      </c>
      <c r="AW189" t="inlineStr">
        <is>
          <t>1007279:eng</t>
        </is>
      </c>
      <c r="AX189" t="inlineStr">
        <is>
          <t>52086251</t>
        </is>
      </c>
      <c r="AY189" t="inlineStr">
        <is>
          <t>991000338029702656</t>
        </is>
      </c>
      <c r="AZ189" t="inlineStr">
        <is>
          <t>991000338029702656</t>
        </is>
      </c>
      <c r="BA189" t="inlineStr">
        <is>
          <t>2269813650002656</t>
        </is>
      </c>
      <c r="BB189" t="inlineStr">
        <is>
          <t>BOOK</t>
        </is>
      </c>
      <c r="BD189" t="inlineStr">
        <is>
          <t>9780340808122</t>
        </is>
      </c>
      <c r="BE189" t="inlineStr">
        <is>
          <t>30001004501815</t>
        </is>
      </c>
      <c r="BF189" t="inlineStr">
        <is>
          <t>893274979</t>
        </is>
      </c>
    </row>
    <row r="190">
      <c r="A190" t="inlineStr">
        <is>
          <t>No</t>
        </is>
      </c>
      <c r="B190" t="inlineStr">
        <is>
          <t>CUHSL</t>
        </is>
      </c>
      <c r="C190" t="inlineStr">
        <is>
          <t>SHELVES</t>
        </is>
      </c>
      <c r="D190" t="inlineStr">
        <is>
          <t>W 20.5 A735r 1990</t>
        </is>
      </c>
      <c r="E190" t="inlineStr">
        <is>
          <t>0                      W  0020500A  735r        1990</t>
        </is>
      </c>
      <c r="F190" t="inlineStr">
        <is>
          <t>Research methods for general practitioners / David Armstrong, Michael Calnan, and John Grace.</t>
        </is>
      </c>
      <c r="H190" t="inlineStr">
        <is>
          <t>No</t>
        </is>
      </c>
      <c r="I190" t="inlineStr">
        <is>
          <t>1</t>
        </is>
      </c>
      <c r="J190" t="inlineStr">
        <is>
          <t>No</t>
        </is>
      </c>
      <c r="K190" t="inlineStr">
        <is>
          <t>No</t>
        </is>
      </c>
      <c r="L190" t="inlineStr">
        <is>
          <t>0</t>
        </is>
      </c>
      <c r="M190" t="inlineStr">
        <is>
          <t>Armstrong, David, 1947 June 3-</t>
        </is>
      </c>
      <c r="N190" t="inlineStr">
        <is>
          <t>Oxford ; New York : Oxford University Press, c1990.</t>
        </is>
      </c>
      <c r="O190" t="inlineStr">
        <is>
          <t>1990</t>
        </is>
      </c>
      <c r="Q190" t="inlineStr">
        <is>
          <t>eng</t>
        </is>
      </c>
      <c r="R190" t="inlineStr">
        <is>
          <t>xxu</t>
        </is>
      </c>
      <c r="S190" t="inlineStr">
        <is>
          <t>Oxford general practice series ; 16</t>
        </is>
      </c>
      <c r="T190" t="inlineStr">
        <is>
          <t xml:space="preserve">W  </t>
        </is>
      </c>
      <c r="U190" t="n">
        <v>16</v>
      </c>
      <c r="V190" t="n">
        <v>16</v>
      </c>
      <c r="W190" t="inlineStr">
        <is>
          <t>1997-07-11</t>
        </is>
      </c>
      <c r="X190" t="inlineStr">
        <is>
          <t>1997-07-11</t>
        </is>
      </c>
      <c r="Y190" t="inlineStr">
        <is>
          <t>1990-09-12</t>
        </is>
      </c>
      <c r="Z190" t="inlineStr">
        <is>
          <t>1990-09-12</t>
        </is>
      </c>
      <c r="AA190" t="n">
        <v>91</v>
      </c>
      <c r="AB190" t="n">
        <v>43</v>
      </c>
      <c r="AC190" t="n">
        <v>45</v>
      </c>
      <c r="AD190" t="n">
        <v>1</v>
      </c>
      <c r="AE190" t="n">
        <v>1</v>
      </c>
      <c r="AF190" t="n">
        <v>1</v>
      </c>
      <c r="AG190" t="n">
        <v>1</v>
      </c>
      <c r="AH190" t="n">
        <v>0</v>
      </c>
      <c r="AI190" t="n">
        <v>0</v>
      </c>
      <c r="AJ190" t="n">
        <v>1</v>
      </c>
      <c r="AK190" t="n">
        <v>1</v>
      </c>
      <c r="AL190" t="n">
        <v>1</v>
      </c>
      <c r="AM190" t="n">
        <v>1</v>
      </c>
      <c r="AN190" t="n">
        <v>0</v>
      </c>
      <c r="AO190" t="n">
        <v>0</v>
      </c>
      <c r="AP190" t="n">
        <v>0</v>
      </c>
      <c r="AQ190" t="n">
        <v>0</v>
      </c>
      <c r="AR190" t="inlineStr">
        <is>
          <t>No</t>
        </is>
      </c>
      <c r="AS190" t="inlineStr">
        <is>
          <t>Yes</t>
        </is>
      </c>
      <c r="AT190">
        <f>HYPERLINK("http://catalog.hathitrust.org/Record/001956614","HathiTrust Record")</f>
        <v/>
      </c>
      <c r="AU190">
        <f>HYPERLINK("https://creighton-primo.hosted.exlibrisgroup.com/primo-explore/search?tab=default_tab&amp;search_scope=EVERYTHING&amp;vid=01CRU&amp;lang=en_US&amp;offset=0&amp;query=any,contains,991000760969702656","Catalog Record")</f>
        <v/>
      </c>
      <c r="AV190">
        <f>HYPERLINK("http://www.worldcat.org/oclc/19982677","WorldCat Record")</f>
        <v/>
      </c>
      <c r="AW190" t="inlineStr">
        <is>
          <t>57505876:eng</t>
        </is>
      </c>
      <c r="AX190" t="inlineStr">
        <is>
          <t>19982677</t>
        </is>
      </c>
      <c r="AY190" t="inlineStr">
        <is>
          <t>991000760969702656</t>
        </is>
      </c>
      <c r="AZ190" t="inlineStr">
        <is>
          <t>991000760969702656</t>
        </is>
      </c>
      <c r="BA190" t="inlineStr">
        <is>
          <t>2260246330002656</t>
        </is>
      </c>
      <c r="BB190" t="inlineStr">
        <is>
          <t>BOOK</t>
        </is>
      </c>
      <c r="BD190" t="inlineStr">
        <is>
          <t>9780192618221</t>
        </is>
      </c>
      <c r="BE190" t="inlineStr">
        <is>
          <t>30001002060152</t>
        </is>
      </c>
      <c r="BF190" t="inlineStr">
        <is>
          <t>893540434</t>
        </is>
      </c>
    </row>
    <row r="191">
      <c r="A191" t="inlineStr">
        <is>
          <t>No</t>
        </is>
      </c>
      <c r="B191" t="inlineStr">
        <is>
          <t>CUHSL</t>
        </is>
      </c>
      <c r="C191" t="inlineStr">
        <is>
          <t>SHELVES</t>
        </is>
      </c>
      <c r="D191" t="inlineStr">
        <is>
          <t>W 20.5 A846 1992</t>
        </is>
      </c>
      <c r="E191" t="inlineStr">
        <is>
          <t>0                      W  0020500A  846         1992</t>
        </is>
      </c>
      <c r="F191" t="inlineStr">
        <is>
          <t>Assessing interventions / edited by Fred Tudiver ... [et al.].</t>
        </is>
      </c>
      <c r="H191" t="inlineStr">
        <is>
          <t>No</t>
        </is>
      </c>
      <c r="I191" t="inlineStr">
        <is>
          <t>1</t>
        </is>
      </c>
      <c r="J191" t="inlineStr">
        <is>
          <t>No</t>
        </is>
      </c>
      <c r="K191" t="inlineStr">
        <is>
          <t>No</t>
        </is>
      </c>
      <c r="L191" t="inlineStr">
        <is>
          <t>0</t>
        </is>
      </c>
      <c r="N191" t="inlineStr">
        <is>
          <t>Newbury Park, CA : Sage Publications, c1992.</t>
        </is>
      </c>
      <c r="O191" t="inlineStr">
        <is>
          <t>1992</t>
        </is>
      </c>
      <c r="Q191" t="inlineStr">
        <is>
          <t>eng</t>
        </is>
      </c>
      <c r="R191" t="inlineStr">
        <is>
          <t>cau</t>
        </is>
      </c>
      <c r="S191" t="inlineStr">
        <is>
          <t>Research methods for primary care ; v. 4</t>
        </is>
      </c>
      <c r="T191" t="inlineStr">
        <is>
          <t xml:space="preserve">W  </t>
        </is>
      </c>
      <c r="U191" t="n">
        <v>6</v>
      </c>
      <c r="V191" t="n">
        <v>6</v>
      </c>
      <c r="W191" t="inlineStr">
        <is>
          <t>1996-12-18</t>
        </is>
      </c>
      <c r="X191" t="inlineStr">
        <is>
          <t>1996-12-18</t>
        </is>
      </c>
      <c r="Y191" t="inlineStr">
        <is>
          <t>1992-10-20</t>
        </is>
      </c>
      <c r="Z191" t="inlineStr">
        <is>
          <t>1992-10-20</t>
        </is>
      </c>
      <c r="AA191" t="n">
        <v>225</v>
      </c>
      <c r="AB191" t="n">
        <v>157</v>
      </c>
      <c r="AC191" t="n">
        <v>165</v>
      </c>
      <c r="AD191" t="n">
        <v>2</v>
      </c>
      <c r="AE191" t="n">
        <v>2</v>
      </c>
      <c r="AF191" t="n">
        <v>11</v>
      </c>
      <c r="AG191" t="n">
        <v>11</v>
      </c>
      <c r="AH191" t="n">
        <v>4</v>
      </c>
      <c r="AI191" t="n">
        <v>4</v>
      </c>
      <c r="AJ191" t="n">
        <v>2</v>
      </c>
      <c r="AK191" t="n">
        <v>2</v>
      </c>
      <c r="AL191" t="n">
        <v>9</v>
      </c>
      <c r="AM191" t="n">
        <v>9</v>
      </c>
      <c r="AN191" t="n">
        <v>1</v>
      </c>
      <c r="AO191" t="n">
        <v>1</v>
      </c>
      <c r="AP191" t="n">
        <v>0</v>
      </c>
      <c r="AQ191" t="n">
        <v>0</v>
      </c>
      <c r="AR191" t="inlineStr">
        <is>
          <t>No</t>
        </is>
      </c>
      <c r="AS191" t="inlineStr">
        <is>
          <t>Yes</t>
        </is>
      </c>
      <c r="AT191">
        <f>HYPERLINK("http://catalog.hathitrust.org/Record/002575266","HathiTrust Record")</f>
        <v/>
      </c>
      <c r="AU191">
        <f>HYPERLINK("https://creighton-primo.hosted.exlibrisgroup.com/primo-explore/search?tab=default_tab&amp;search_scope=EVERYTHING&amp;vid=01CRU&amp;lang=en_US&amp;offset=0&amp;query=any,contains,991001343069702656","Catalog Record")</f>
        <v/>
      </c>
      <c r="AV191">
        <f>HYPERLINK("http://www.worldcat.org/oclc/26014764","WorldCat Record")</f>
        <v/>
      </c>
      <c r="AW191" t="inlineStr">
        <is>
          <t>836909184:eng</t>
        </is>
      </c>
      <c r="AX191" t="inlineStr">
        <is>
          <t>26014764</t>
        </is>
      </c>
      <c r="AY191" t="inlineStr">
        <is>
          <t>991001343069702656</t>
        </is>
      </c>
      <c r="AZ191" t="inlineStr">
        <is>
          <t>991001343069702656</t>
        </is>
      </c>
      <c r="BA191" t="inlineStr">
        <is>
          <t>2261364940002656</t>
        </is>
      </c>
      <c r="BB191" t="inlineStr">
        <is>
          <t>BOOK</t>
        </is>
      </c>
      <c r="BD191" t="inlineStr">
        <is>
          <t>9780803947702</t>
        </is>
      </c>
      <c r="BE191" t="inlineStr">
        <is>
          <t>30001002456384</t>
        </is>
      </c>
      <c r="BF191" t="inlineStr">
        <is>
          <t>893149104</t>
        </is>
      </c>
    </row>
    <row r="192">
      <c r="A192" t="inlineStr">
        <is>
          <t>No</t>
        </is>
      </c>
      <c r="B192" t="inlineStr">
        <is>
          <t>CUHSL</t>
        </is>
      </c>
      <c r="C192" t="inlineStr">
        <is>
          <t>SHELVES</t>
        </is>
      </c>
      <c r="D192" t="inlineStr">
        <is>
          <t>W 20.5 B311 1981</t>
        </is>
      </c>
      <c r="E192" t="inlineStr">
        <is>
          <t>0                      W  0020500B  311         1981</t>
        </is>
      </c>
      <c r="F192" t="inlineStr">
        <is>
          <t>Basic research and clinical medicine / [edited by] S. Philip Bralow ; coeditors and awardees, Rosalyn S. Yalow ... [et al.].</t>
        </is>
      </c>
      <c r="H192" t="inlineStr">
        <is>
          <t>No</t>
        </is>
      </c>
      <c r="I192" t="inlineStr">
        <is>
          <t>1</t>
        </is>
      </c>
      <c r="J192" t="inlineStr">
        <is>
          <t>No</t>
        </is>
      </c>
      <c r="K192" t="inlineStr">
        <is>
          <t>No</t>
        </is>
      </c>
      <c r="L192" t="inlineStr">
        <is>
          <t>0</t>
        </is>
      </c>
      <c r="N192" t="inlineStr">
        <is>
          <t>Washington : Hemisphere Pub. Corp. ; New York : McGraw-Hill, c1981.</t>
        </is>
      </c>
      <c r="O192" t="inlineStr">
        <is>
          <t>1981</t>
        </is>
      </c>
      <c r="Q192" t="inlineStr">
        <is>
          <t>eng</t>
        </is>
      </c>
      <c r="R192" t="inlineStr">
        <is>
          <t>dcu</t>
        </is>
      </c>
      <c r="T192" t="inlineStr">
        <is>
          <t xml:space="preserve">W  </t>
        </is>
      </c>
      <c r="U192" t="n">
        <v>6</v>
      </c>
      <c r="V192" t="n">
        <v>6</v>
      </c>
      <c r="W192" t="inlineStr">
        <is>
          <t>1995-04-30</t>
        </is>
      </c>
      <c r="X192" t="inlineStr">
        <is>
          <t>1995-04-30</t>
        </is>
      </c>
      <c r="Y192" t="inlineStr">
        <is>
          <t>1987-10-01</t>
        </is>
      </c>
      <c r="Z192" t="inlineStr">
        <is>
          <t>1987-10-01</t>
        </is>
      </c>
      <c r="AA192" t="n">
        <v>94</v>
      </c>
      <c r="AB192" t="n">
        <v>67</v>
      </c>
      <c r="AC192" t="n">
        <v>67</v>
      </c>
      <c r="AD192" t="n">
        <v>1</v>
      </c>
      <c r="AE192" t="n">
        <v>1</v>
      </c>
      <c r="AF192" t="n">
        <v>0</v>
      </c>
      <c r="AG192" t="n">
        <v>0</v>
      </c>
      <c r="AH192" t="n">
        <v>0</v>
      </c>
      <c r="AI192" t="n">
        <v>0</v>
      </c>
      <c r="AJ192" t="n">
        <v>0</v>
      </c>
      <c r="AK192" t="n">
        <v>0</v>
      </c>
      <c r="AL192" t="n">
        <v>0</v>
      </c>
      <c r="AM192" t="n">
        <v>0</v>
      </c>
      <c r="AN192" t="n">
        <v>0</v>
      </c>
      <c r="AO192" t="n">
        <v>0</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HYPERLINK("https://creighton-primo.hosted.exlibrisgroup.com/primo-explore/search?tab=default_tab&amp;search_scope=EVERYTHING&amp;vid=01CRU&amp;lang=en_US&amp;offset=0&amp;query=any,contains,991001173769702656","Catalog Record")</f>
        <v/>
      </c>
      <c r="AV192">
        <f>HYPERLINK("http://www.worldcat.org/oclc/6734406","WorldCat Record")</f>
        <v/>
      </c>
      <c r="AW192" t="inlineStr">
        <is>
          <t>180338919:eng</t>
        </is>
      </c>
      <c r="AX192" t="inlineStr">
        <is>
          <t>6734406</t>
        </is>
      </c>
      <c r="AY192" t="inlineStr">
        <is>
          <t>991001173769702656</t>
        </is>
      </c>
      <c r="AZ192" t="inlineStr">
        <is>
          <t>991001173769702656</t>
        </is>
      </c>
      <c r="BA192" t="inlineStr">
        <is>
          <t>2268481160002656</t>
        </is>
      </c>
      <c r="BB192" t="inlineStr">
        <is>
          <t>BOOK</t>
        </is>
      </c>
      <c r="BE192" t="inlineStr">
        <is>
          <t>30001000307597</t>
        </is>
      </c>
      <c r="BF192" t="inlineStr">
        <is>
          <t>893546423</t>
        </is>
      </c>
    </row>
    <row r="193">
      <c r="A193" t="inlineStr">
        <is>
          <t>No</t>
        </is>
      </c>
      <c r="B193" t="inlineStr">
        <is>
          <t>CUHSL</t>
        </is>
      </c>
      <c r="C193" t="inlineStr">
        <is>
          <t>SHELVES</t>
        </is>
      </c>
      <c r="D193" t="inlineStr">
        <is>
          <t>W 20.5 B518i 1927</t>
        </is>
      </c>
      <c r="E193" t="inlineStr">
        <is>
          <t>0                      W  0020500B  518i        1927</t>
        </is>
      </c>
      <c r="F193" t="inlineStr">
        <is>
          <t>An introduction to the study of experimental medicine / Translated by Henry Copley Greene ; with an introd. by Lawrence J. Henderson.</t>
        </is>
      </c>
      <c r="H193" t="inlineStr">
        <is>
          <t>No</t>
        </is>
      </c>
      <c r="I193" t="inlineStr">
        <is>
          <t>1</t>
        </is>
      </c>
      <c r="J193" t="inlineStr">
        <is>
          <t>No</t>
        </is>
      </c>
      <c r="K193" t="inlineStr">
        <is>
          <t>Yes</t>
        </is>
      </c>
      <c r="L193" t="inlineStr">
        <is>
          <t>0</t>
        </is>
      </c>
      <c r="M193" t="inlineStr">
        <is>
          <t>Bernard, Claude, 1813-1878.</t>
        </is>
      </c>
      <c r="N193" t="inlineStr">
        <is>
          <t>[New York] : Schuman, 1949, c1927.</t>
        </is>
      </c>
      <c r="O193" t="inlineStr">
        <is>
          <t>1949</t>
        </is>
      </c>
      <c r="Q193" t="inlineStr">
        <is>
          <t>eng</t>
        </is>
      </c>
      <c r="R193" t="inlineStr">
        <is>
          <t>nyu</t>
        </is>
      </c>
      <c r="T193" t="inlineStr">
        <is>
          <t xml:space="preserve">W  </t>
        </is>
      </c>
      <c r="U193" t="n">
        <v>7</v>
      </c>
      <c r="V193" t="n">
        <v>7</v>
      </c>
      <c r="W193" t="inlineStr">
        <is>
          <t>1996-09-30</t>
        </is>
      </c>
      <c r="X193" t="inlineStr">
        <is>
          <t>1996-09-30</t>
        </is>
      </c>
      <c r="Y193" t="inlineStr">
        <is>
          <t>1987-10-01</t>
        </is>
      </c>
      <c r="Z193" t="inlineStr">
        <is>
          <t>1987-10-01</t>
        </is>
      </c>
      <c r="AA193" t="n">
        <v>255</v>
      </c>
      <c r="AB193" t="n">
        <v>224</v>
      </c>
      <c r="AC193" t="n">
        <v>746</v>
      </c>
      <c r="AD193" t="n">
        <v>1</v>
      </c>
      <c r="AE193" t="n">
        <v>8</v>
      </c>
      <c r="AF193" t="n">
        <v>7</v>
      </c>
      <c r="AG193" t="n">
        <v>31</v>
      </c>
      <c r="AH193" t="n">
        <v>1</v>
      </c>
      <c r="AI193" t="n">
        <v>9</v>
      </c>
      <c r="AJ193" t="n">
        <v>2</v>
      </c>
      <c r="AK193" t="n">
        <v>6</v>
      </c>
      <c r="AL193" t="n">
        <v>6</v>
      </c>
      <c r="AM193" t="n">
        <v>16</v>
      </c>
      <c r="AN193" t="n">
        <v>0</v>
      </c>
      <c r="AO193" t="n">
        <v>6</v>
      </c>
      <c r="AP193" t="n">
        <v>0</v>
      </c>
      <c r="AQ193" t="n">
        <v>1</v>
      </c>
      <c r="AR193" t="inlineStr">
        <is>
          <t>No</t>
        </is>
      </c>
      <c r="AS193" t="inlineStr">
        <is>
          <t>No</t>
        </is>
      </c>
      <c r="AT193">
        <f>HYPERLINK("http://catalog.hathitrust.org/Record/001558137","HathiTrust Record")</f>
        <v/>
      </c>
      <c r="AU193">
        <f>HYPERLINK("https://creighton-primo.hosted.exlibrisgroup.com/primo-explore/search?tab=default_tab&amp;search_scope=EVERYTHING&amp;vid=01CRU&amp;lang=en_US&amp;offset=0&amp;query=any,contains,991001173809702656","Catalog Record")</f>
        <v/>
      </c>
      <c r="AV193">
        <f>HYPERLINK("http://www.worldcat.org/oclc/630196","WorldCat Record")</f>
        <v/>
      </c>
      <c r="AW193" t="inlineStr">
        <is>
          <t>4494875852:eng</t>
        </is>
      </c>
      <c r="AX193" t="inlineStr">
        <is>
          <t>630196</t>
        </is>
      </c>
      <c r="AY193" t="inlineStr">
        <is>
          <t>991001173809702656</t>
        </is>
      </c>
      <c r="AZ193" t="inlineStr">
        <is>
          <t>991001173809702656</t>
        </is>
      </c>
      <c r="BA193" t="inlineStr">
        <is>
          <t>2262410960002656</t>
        </is>
      </c>
      <c r="BB193" t="inlineStr">
        <is>
          <t>BOOK</t>
        </is>
      </c>
      <c r="BE193" t="inlineStr">
        <is>
          <t>30001000307605</t>
        </is>
      </c>
      <c r="BF193" t="inlineStr">
        <is>
          <t>893821019</t>
        </is>
      </c>
    </row>
    <row r="194">
      <c r="A194" t="inlineStr">
        <is>
          <t>No</t>
        </is>
      </c>
      <c r="B194" t="inlineStr">
        <is>
          <t>CUHSL</t>
        </is>
      </c>
      <c r="C194" t="inlineStr">
        <is>
          <t>SHELVES</t>
        </is>
      </c>
      <c r="D194" t="inlineStr">
        <is>
          <t>W20.5 B6155 v.48 2001</t>
        </is>
      </c>
      <c r="E194" t="inlineStr">
        <is>
          <t>0                      W  0020500B  6155                                                    v.48 2001</t>
        </is>
      </c>
      <c r="F194" t="inlineStr">
        <is>
          <t>Palliative care in Europe : concepts and policies / edited by Henk ten Have and Rien Janssens.</t>
        </is>
      </c>
      <c r="G194" t="inlineStr">
        <is>
          <t>V.48 2001</t>
        </is>
      </c>
      <c r="H194" t="inlineStr">
        <is>
          <t>No</t>
        </is>
      </c>
      <c r="I194" t="inlineStr">
        <is>
          <t>1</t>
        </is>
      </c>
      <c r="J194" t="inlineStr">
        <is>
          <t>No</t>
        </is>
      </c>
      <c r="K194" t="inlineStr">
        <is>
          <t>No</t>
        </is>
      </c>
      <c r="L194" t="inlineStr">
        <is>
          <t>0</t>
        </is>
      </c>
      <c r="N194" t="inlineStr">
        <is>
          <t>Amsterdam ; Washington, DC : IOS Press, c2001.</t>
        </is>
      </c>
      <c r="O194" t="inlineStr">
        <is>
          <t>2001</t>
        </is>
      </c>
      <c r="Q194" t="inlineStr">
        <is>
          <t>eng</t>
        </is>
      </c>
      <c r="R194" t="inlineStr">
        <is>
          <t xml:space="preserve">ne </t>
        </is>
      </c>
      <c r="S194" t="inlineStr">
        <is>
          <t>Biomedical and health research, 0929-6743 ; v. 48</t>
        </is>
      </c>
      <c r="T194" t="inlineStr">
        <is>
          <t xml:space="preserve">W  </t>
        </is>
      </c>
      <c r="U194" t="n">
        <v>0</v>
      </c>
      <c r="V194" t="n">
        <v>0</v>
      </c>
      <c r="W194" t="inlineStr">
        <is>
          <t>2006-05-04</t>
        </is>
      </c>
      <c r="X194" t="inlineStr">
        <is>
          <t>2006-05-04</t>
        </is>
      </c>
      <c r="Y194" t="inlineStr">
        <is>
          <t>2006-04-27</t>
        </is>
      </c>
      <c r="Z194" t="inlineStr">
        <is>
          <t>2006-04-27</t>
        </is>
      </c>
      <c r="AA194" t="n">
        <v>39</v>
      </c>
      <c r="AB194" t="n">
        <v>25</v>
      </c>
      <c r="AC194" t="n">
        <v>30</v>
      </c>
      <c r="AD194" t="n">
        <v>1</v>
      </c>
      <c r="AE194" t="n">
        <v>1</v>
      </c>
      <c r="AF194" t="n">
        <v>1</v>
      </c>
      <c r="AG194" t="n">
        <v>1</v>
      </c>
      <c r="AH194" t="n">
        <v>1</v>
      </c>
      <c r="AI194" t="n">
        <v>1</v>
      </c>
      <c r="AJ194" t="n">
        <v>0</v>
      </c>
      <c r="AK194" t="n">
        <v>0</v>
      </c>
      <c r="AL194" t="n">
        <v>1</v>
      </c>
      <c r="AM194" t="n">
        <v>1</v>
      </c>
      <c r="AN194" t="n">
        <v>0</v>
      </c>
      <c r="AO194" t="n">
        <v>0</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HYPERLINK("https://creighton-primo.hosted.exlibrisgroup.com/primo-explore/search?tab=default_tab&amp;search_scope=EVERYTHING&amp;vid=01CRU&amp;lang=en_US&amp;offset=0&amp;query=any,contains,991000477969702656","Catalog Record")</f>
        <v/>
      </c>
      <c r="AV194">
        <f>HYPERLINK("http://www.worldcat.org/oclc/49775223","WorldCat Record")</f>
        <v/>
      </c>
      <c r="AW194" t="inlineStr">
        <is>
          <t>144850570:eng</t>
        </is>
      </c>
      <c r="AX194" t="inlineStr">
        <is>
          <t>49775223</t>
        </is>
      </c>
      <c r="AY194" t="inlineStr">
        <is>
          <t>991000477969702656</t>
        </is>
      </c>
      <c r="AZ194" t="inlineStr">
        <is>
          <t>991000477969702656</t>
        </is>
      </c>
      <c r="BA194" t="inlineStr">
        <is>
          <t>2258126130002656</t>
        </is>
      </c>
      <c r="BB194" t="inlineStr">
        <is>
          <t>BOOK</t>
        </is>
      </c>
      <c r="BD194" t="inlineStr">
        <is>
          <t>9781586032005</t>
        </is>
      </c>
      <c r="BE194" t="inlineStr">
        <is>
          <t>30001005126968</t>
        </is>
      </c>
      <c r="BF194" t="inlineStr">
        <is>
          <t>893264251</t>
        </is>
      </c>
    </row>
    <row r="195">
      <c r="A195" t="inlineStr">
        <is>
          <t>No</t>
        </is>
      </c>
      <c r="B195" t="inlineStr">
        <is>
          <t>CUHSL</t>
        </is>
      </c>
      <c r="C195" t="inlineStr">
        <is>
          <t>SHELVES</t>
        </is>
      </c>
      <c r="D195" t="inlineStr">
        <is>
          <t>W 20.5 C615 1967</t>
        </is>
      </c>
      <c r="E195" t="inlineStr">
        <is>
          <t>0                      W  0020500C  615         1967</t>
        </is>
      </c>
      <c r="F195" t="inlineStr">
        <is>
          <t>Claude Bernard and experimental medicine : collected papers from a symposium commemorating the centenary of the publication of An introduction to the study of experimental medicine, and the first English translation of Claude Bernard's Cahier rouge / edited by Francisco Grande and Maurice B. Visscher.</t>
        </is>
      </c>
      <c r="H195" t="inlineStr">
        <is>
          <t>No</t>
        </is>
      </c>
      <c r="I195" t="inlineStr">
        <is>
          <t>1</t>
        </is>
      </c>
      <c r="J195" t="inlineStr">
        <is>
          <t>No</t>
        </is>
      </c>
      <c r="K195" t="inlineStr">
        <is>
          <t>No</t>
        </is>
      </c>
      <c r="L195" t="inlineStr">
        <is>
          <t>0</t>
        </is>
      </c>
      <c r="N195" t="inlineStr">
        <is>
          <t>Cambridge, Mass. : Schenkman, [c1967]</t>
        </is>
      </c>
      <c r="O195" t="inlineStr">
        <is>
          <t>1967</t>
        </is>
      </c>
      <c r="Q195" t="inlineStr">
        <is>
          <t>eng</t>
        </is>
      </c>
      <c r="R195" t="inlineStr">
        <is>
          <t>mau</t>
        </is>
      </c>
      <c r="T195" t="inlineStr">
        <is>
          <t xml:space="preserve">W  </t>
        </is>
      </c>
      <c r="U195" t="n">
        <v>10</v>
      </c>
      <c r="V195" t="n">
        <v>10</v>
      </c>
      <c r="W195" t="inlineStr">
        <is>
          <t>1996-10-01</t>
        </is>
      </c>
      <c r="X195" t="inlineStr">
        <is>
          <t>1996-10-01</t>
        </is>
      </c>
      <c r="Y195" t="inlineStr">
        <is>
          <t>1987-10-08</t>
        </is>
      </c>
      <c r="Z195" t="inlineStr">
        <is>
          <t>1987-10-08</t>
        </is>
      </c>
      <c r="AA195" t="n">
        <v>183</v>
      </c>
      <c r="AB195" t="n">
        <v>149</v>
      </c>
      <c r="AC195" t="n">
        <v>198</v>
      </c>
      <c r="AD195" t="n">
        <v>1</v>
      </c>
      <c r="AE195" t="n">
        <v>2</v>
      </c>
      <c r="AF195" t="n">
        <v>2</v>
      </c>
      <c r="AG195" t="n">
        <v>4</v>
      </c>
      <c r="AH195" t="n">
        <v>0</v>
      </c>
      <c r="AI195" t="n">
        <v>0</v>
      </c>
      <c r="AJ195" t="n">
        <v>0</v>
      </c>
      <c r="AK195" t="n">
        <v>0</v>
      </c>
      <c r="AL195" t="n">
        <v>2</v>
      </c>
      <c r="AM195" t="n">
        <v>3</v>
      </c>
      <c r="AN195" t="n">
        <v>0</v>
      </c>
      <c r="AO195" t="n">
        <v>1</v>
      </c>
      <c r="AP195" t="n">
        <v>0</v>
      </c>
      <c r="AQ195" t="n">
        <v>0</v>
      </c>
      <c r="AR195" t="inlineStr">
        <is>
          <t>No</t>
        </is>
      </c>
      <c r="AS195" t="inlineStr">
        <is>
          <t>Yes</t>
        </is>
      </c>
      <c r="AT195">
        <f>HYPERLINK("http://catalog.hathitrust.org/Record/001558138","HathiTrust Record")</f>
        <v/>
      </c>
      <c r="AU195">
        <f>HYPERLINK("https://creighton-primo.hosted.exlibrisgroup.com/primo-explore/search?tab=default_tab&amp;search_scope=EVERYTHING&amp;vid=01CRU&amp;lang=en_US&amp;offset=0&amp;query=any,contains,991001174689702656","Catalog Record")</f>
        <v/>
      </c>
      <c r="AV195">
        <f>HYPERLINK("http://www.worldcat.org/oclc/14487530","WorldCat Record")</f>
        <v/>
      </c>
      <c r="AW195" t="inlineStr">
        <is>
          <t>2277602678:eng</t>
        </is>
      </c>
      <c r="AX195" t="inlineStr">
        <is>
          <t>14487530</t>
        </is>
      </c>
      <c r="AY195" t="inlineStr">
        <is>
          <t>991001174689702656</t>
        </is>
      </c>
      <c r="AZ195" t="inlineStr">
        <is>
          <t>991001174689702656</t>
        </is>
      </c>
      <c r="BA195" t="inlineStr">
        <is>
          <t>2268599700002656</t>
        </is>
      </c>
      <c r="BB195" t="inlineStr">
        <is>
          <t>BOOK</t>
        </is>
      </c>
      <c r="BE195" t="inlineStr">
        <is>
          <t>30001000307761</t>
        </is>
      </c>
      <c r="BF195" t="inlineStr">
        <is>
          <t>893743663</t>
        </is>
      </c>
    </row>
    <row r="196">
      <c r="A196" t="inlineStr">
        <is>
          <t>No</t>
        </is>
      </c>
      <c r="B196" t="inlineStr">
        <is>
          <t>CUHSL</t>
        </is>
      </c>
      <c r="C196" t="inlineStr">
        <is>
          <t>SHELVES</t>
        </is>
      </c>
      <c r="D196" t="inlineStr">
        <is>
          <t>W 20.5 C6415 1983</t>
        </is>
      </c>
      <c r="E196" t="inlineStr">
        <is>
          <t>0                      W  0020500C  6415        1983</t>
        </is>
      </c>
      <c r="F196" t="inlineStr">
        <is>
          <t>Clinical trials, issues and approaches / edited by Stanley H. Shapiro, Thomas A. Louis.</t>
        </is>
      </c>
      <c r="H196" t="inlineStr">
        <is>
          <t>No</t>
        </is>
      </c>
      <c r="I196" t="inlineStr">
        <is>
          <t>1</t>
        </is>
      </c>
      <c r="J196" t="inlineStr">
        <is>
          <t>No</t>
        </is>
      </c>
      <c r="K196" t="inlineStr">
        <is>
          <t>No</t>
        </is>
      </c>
      <c r="L196" t="inlineStr">
        <is>
          <t>0</t>
        </is>
      </c>
      <c r="N196" t="inlineStr">
        <is>
          <t>New York : Dekker, c1983.</t>
        </is>
      </c>
      <c r="O196" t="inlineStr">
        <is>
          <t>1983</t>
        </is>
      </c>
      <c r="Q196" t="inlineStr">
        <is>
          <t>eng</t>
        </is>
      </c>
      <c r="R196" t="inlineStr">
        <is>
          <t>xxu</t>
        </is>
      </c>
      <c r="S196" t="inlineStr">
        <is>
          <t>Statistics, textbooks and monographs ; v. 46</t>
        </is>
      </c>
      <c r="T196" t="inlineStr">
        <is>
          <t xml:space="preserve">W  </t>
        </is>
      </c>
      <c r="U196" t="n">
        <v>2</v>
      </c>
      <c r="V196" t="n">
        <v>2</v>
      </c>
      <c r="W196" t="inlineStr">
        <is>
          <t>2003-10-15</t>
        </is>
      </c>
      <c r="X196" t="inlineStr">
        <is>
          <t>2003-10-15</t>
        </is>
      </c>
      <c r="Y196" t="inlineStr">
        <is>
          <t>1987-10-05</t>
        </is>
      </c>
      <c r="Z196" t="inlineStr">
        <is>
          <t>1987-10-05</t>
        </is>
      </c>
      <c r="AA196" t="n">
        <v>233</v>
      </c>
      <c r="AB196" t="n">
        <v>158</v>
      </c>
      <c r="AC196" t="n">
        <v>158</v>
      </c>
      <c r="AD196" t="n">
        <v>2</v>
      </c>
      <c r="AE196" t="n">
        <v>2</v>
      </c>
      <c r="AF196" t="n">
        <v>7</v>
      </c>
      <c r="AG196" t="n">
        <v>7</v>
      </c>
      <c r="AH196" t="n">
        <v>0</v>
      </c>
      <c r="AI196" t="n">
        <v>0</v>
      </c>
      <c r="AJ196" t="n">
        <v>2</v>
      </c>
      <c r="AK196" t="n">
        <v>2</v>
      </c>
      <c r="AL196" t="n">
        <v>4</v>
      </c>
      <c r="AM196" t="n">
        <v>4</v>
      </c>
      <c r="AN196" t="n">
        <v>1</v>
      </c>
      <c r="AO196" t="n">
        <v>1</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HYPERLINK("https://creighton-primo.hosted.exlibrisgroup.com/primo-explore/search?tab=default_tab&amp;search_scope=EVERYTHING&amp;vid=01CRU&amp;lang=en_US&amp;offset=0&amp;query=any,contains,991000753549702656","Catalog Record")</f>
        <v/>
      </c>
      <c r="AV196">
        <f>HYPERLINK("http://www.worldcat.org/oclc/9281766","WorldCat Record")</f>
        <v/>
      </c>
      <c r="AW196" t="inlineStr">
        <is>
          <t>889661949:eng</t>
        </is>
      </c>
      <c r="AX196" t="inlineStr">
        <is>
          <t>9281766</t>
        </is>
      </c>
      <c r="AY196" t="inlineStr">
        <is>
          <t>991000753549702656</t>
        </is>
      </c>
      <c r="AZ196" t="inlineStr">
        <is>
          <t>991000753549702656</t>
        </is>
      </c>
      <c r="BA196" t="inlineStr">
        <is>
          <t>2265009030002656</t>
        </is>
      </c>
      <c r="BB196" t="inlineStr">
        <is>
          <t>BOOK</t>
        </is>
      </c>
      <c r="BD196" t="inlineStr">
        <is>
          <t>9780824717414</t>
        </is>
      </c>
      <c r="BE196" t="inlineStr">
        <is>
          <t>30001000051526</t>
        </is>
      </c>
      <c r="BF196" t="inlineStr">
        <is>
          <t>893459796</t>
        </is>
      </c>
    </row>
    <row r="197">
      <c r="A197" t="inlineStr">
        <is>
          <t>No</t>
        </is>
      </c>
      <c r="B197" t="inlineStr">
        <is>
          <t>CUHSL</t>
        </is>
      </c>
      <c r="C197" t="inlineStr">
        <is>
          <t>SHELVES</t>
        </is>
      </c>
      <c r="D197" t="inlineStr">
        <is>
          <t>W 20.5 F293 1980m</t>
        </is>
      </c>
      <c r="E197" t="inlineStr">
        <is>
          <t>0                      W  0020500F  293         1980m</t>
        </is>
      </c>
      <c r="F197" t="inlineStr">
        <is>
          <t>Federal regulations : bane or boon to IRBs : a symposium / sponsored by Public Responsibility in Medicine and Research, co-sponsored by Boston University School of Medicine, held at the Harvard School of Public Health, March 27 &amp; 28, 1980 ; edited by Kathryn Culver, Grace Napier, Jean Rachlin.</t>
        </is>
      </c>
      <c r="H197" t="inlineStr">
        <is>
          <t>No</t>
        </is>
      </c>
      <c r="I197" t="inlineStr">
        <is>
          <t>1</t>
        </is>
      </c>
      <c r="J197" t="inlineStr">
        <is>
          <t>No</t>
        </is>
      </c>
      <c r="K197" t="inlineStr">
        <is>
          <t>No</t>
        </is>
      </c>
      <c r="L197" t="inlineStr">
        <is>
          <t>0</t>
        </is>
      </c>
      <c r="N197" t="inlineStr">
        <is>
          <t>Boston, Mass. : PRIM&amp;R, c1980.</t>
        </is>
      </c>
      <c r="O197" t="inlineStr">
        <is>
          <t>1980</t>
        </is>
      </c>
      <c r="Q197" t="inlineStr">
        <is>
          <t>eng</t>
        </is>
      </c>
      <c r="R197" t="inlineStr">
        <is>
          <t>mau</t>
        </is>
      </c>
      <c r="S197" t="inlineStr">
        <is>
          <t>PRIM&amp;R subject's rights and freedom of inquiry</t>
        </is>
      </c>
      <c r="T197" t="inlineStr">
        <is>
          <t xml:space="preserve">W  </t>
        </is>
      </c>
      <c r="U197" t="n">
        <v>2</v>
      </c>
      <c r="V197" t="n">
        <v>2</v>
      </c>
      <c r="W197" t="inlineStr">
        <is>
          <t>1989-12-01</t>
        </is>
      </c>
      <c r="X197" t="inlineStr">
        <is>
          <t>1989-12-01</t>
        </is>
      </c>
      <c r="Y197" t="inlineStr">
        <is>
          <t>1988-02-05</t>
        </is>
      </c>
      <c r="Z197" t="inlineStr">
        <is>
          <t>1988-02-05</t>
        </is>
      </c>
      <c r="AA197" t="n">
        <v>15</v>
      </c>
      <c r="AB197" t="n">
        <v>14</v>
      </c>
      <c r="AC197" t="n">
        <v>16</v>
      </c>
      <c r="AD197" t="n">
        <v>1</v>
      </c>
      <c r="AE197" t="n">
        <v>1</v>
      </c>
      <c r="AF197" t="n">
        <v>0</v>
      </c>
      <c r="AG197" t="n">
        <v>0</v>
      </c>
      <c r="AH197" t="n">
        <v>0</v>
      </c>
      <c r="AI197" t="n">
        <v>0</v>
      </c>
      <c r="AJ197" t="n">
        <v>0</v>
      </c>
      <c r="AK197" t="n">
        <v>0</v>
      </c>
      <c r="AL197" t="n">
        <v>0</v>
      </c>
      <c r="AM197" t="n">
        <v>0</v>
      </c>
      <c r="AN197" t="n">
        <v>0</v>
      </c>
      <c r="AO197" t="n">
        <v>0</v>
      </c>
      <c r="AP197" t="n">
        <v>0</v>
      </c>
      <c r="AQ197" t="n">
        <v>0</v>
      </c>
      <c r="AR197" t="inlineStr">
        <is>
          <t>No</t>
        </is>
      </c>
      <c r="AS197" t="inlineStr">
        <is>
          <t>Yes</t>
        </is>
      </c>
      <c r="AT197">
        <f>HYPERLINK("http://catalog.hathitrust.org/Record/010366809","HathiTrust Record")</f>
        <v/>
      </c>
      <c r="AU197">
        <f>HYPERLINK("https://creighton-primo.hosted.exlibrisgroup.com/primo-explore/search?tab=default_tab&amp;search_scope=EVERYTHING&amp;vid=01CRU&amp;lang=en_US&amp;offset=0&amp;query=any,contains,991001285979702656","Catalog Record")</f>
        <v/>
      </c>
      <c r="AV197">
        <f>HYPERLINK("http://www.worldcat.org/oclc/7642187","WorldCat Record")</f>
        <v/>
      </c>
      <c r="AW197" t="inlineStr">
        <is>
          <t>29107908:eng</t>
        </is>
      </c>
      <c r="AX197" t="inlineStr">
        <is>
          <t>7642187</t>
        </is>
      </c>
      <c r="AY197" t="inlineStr">
        <is>
          <t>991001285979702656</t>
        </is>
      </c>
      <c r="AZ197" t="inlineStr">
        <is>
          <t>991001285979702656</t>
        </is>
      </c>
      <c r="BA197" t="inlineStr">
        <is>
          <t>2265225320002656</t>
        </is>
      </c>
      <c r="BB197" t="inlineStr">
        <is>
          <t>BOOK</t>
        </is>
      </c>
      <c r="BE197" t="inlineStr">
        <is>
          <t>30001000387219</t>
        </is>
      </c>
      <c r="BF197" t="inlineStr">
        <is>
          <t>893632914</t>
        </is>
      </c>
    </row>
    <row r="198">
      <c r="A198" t="inlineStr">
        <is>
          <t>No</t>
        </is>
      </c>
      <c r="B198" t="inlineStr">
        <is>
          <t>CUHSL</t>
        </is>
      </c>
      <c r="C198" t="inlineStr">
        <is>
          <t>SHELVES</t>
        </is>
      </c>
      <c r="D198" t="inlineStr">
        <is>
          <t>W 20.5 F596d 1986</t>
        </is>
      </c>
      <c r="E198" t="inlineStr">
        <is>
          <t>0                      W  0020500F  596d        1986</t>
        </is>
      </c>
      <c r="F198" t="inlineStr">
        <is>
          <t>The design and analysis of clinical experiments / Joseph L. Fleiss.</t>
        </is>
      </c>
      <c r="H198" t="inlineStr">
        <is>
          <t>No</t>
        </is>
      </c>
      <c r="I198" t="inlineStr">
        <is>
          <t>1</t>
        </is>
      </c>
      <c r="J198" t="inlineStr">
        <is>
          <t>Yes</t>
        </is>
      </c>
      <c r="K198" t="inlineStr">
        <is>
          <t>No</t>
        </is>
      </c>
      <c r="L198" t="inlineStr">
        <is>
          <t>0</t>
        </is>
      </c>
      <c r="M198" t="inlineStr">
        <is>
          <t>Fleiss, Joseph L.</t>
        </is>
      </c>
      <c r="N198" t="inlineStr">
        <is>
          <t>New York : Wiley, c1986.</t>
        </is>
      </c>
      <c r="O198" t="inlineStr">
        <is>
          <t>1986</t>
        </is>
      </c>
      <c r="Q198" t="inlineStr">
        <is>
          <t>eng</t>
        </is>
      </c>
      <c r="R198" t="inlineStr">
        <is>
          <t>xxu</t>
        </is>
      </c>
      <c r="S198" t="inlineStr">
        <is>
          <t>Wiley series in probability and mathematical statistics. Applied probability and statistics</t>
        </is>
      </c>
      <c r="T198" t="inlineStr">
        <is>
          <t xml:space="preserve">W  </t>
        </is>
      </c>
      <c r="U198" t="n">
        <v>19</v>
      </c>
      <c r="V198" t="n">
        <v>19</v>
      </c>
      <c r="W198" t="inlineStr">
        <is>
          <t>1999-12-13</t>
        </is>
      </c>
      <c r="X198" t="inlineStr">
        <is>
          <t>1999-12-13</t>
        </is>
      </c>
      <c r="Y198" t="inlineStr">
        <is>
          <t>1989-09-29</t>
        </is>
      </c>
      <c r="Z198" t="inlineStr">
        <is>
          <t>1989-09-29</t>
        </is>
      </c>
      <c r="AA198" t="n">
        <v>516</v>
      </c>
      <c r="AB198" t="n">
        <v>376</v>
      </c>
      <c r="AC198" t="n">
        <v>482</v>
      </c>
      <c r="AD198" t="n">
        <v>3</v>
      </c>
      <c r="AE198" t="n">
        <v>3</v>
      </c>
      <c r="AF198" t="n">
        <v>16</v>
      </c>
      <c r="AG198" t="n">
        <v>18</v>
      </c>
      <c r="AH198" t="n">
        <v>4</v>
      </c>
      <c r="AI198" t="n">
        <v>4</v>
      </c>
      <c r="AJ198" t="n">
        <v>5</v>
      </c>
      <c r="AK198" t="n">
        <v>5</v>
      </c>
      <c r="AL198" t="n">
        <v>11</v>
      </c>
      <c r="AM198" t="n">
        <v>13</v>
      </c>
      <c r="AN198" t="n">
        <v>1</v>
      </c>
      <c r="AO198" t="n">
        <v>1</v>
      </c>
      <c r="AP198" t="n">
        <v>0</v>
      </c>
      <c r="AQ198" t="n">
        <v>0</v>
      </c>
      <c r="AR198" t="inlineStr">
        <is>
          <t>No</t>
        </is>
      </c>
      <c r="AS198" t="inlineStr">
        <is>
          <t>Yes</t>
        </is>
      </c>
      <c r="AT198">
        <f>HYPERLINK("http://catalog.hathitrust.org/Record/000445203","HathiTrust Record")</f>
        <v/>
      </c>
      <c r="AU198">
        <f>HYPERLINK("https://creighton-primo.hosted.exlibrisgroup.com/primo-explore/search?tab=default_tab&amp;search_scope=EVERYTHING&amp;vid=01CRU&amp;lang=en_US&amp;offset=0&amp;query=any,contains,991001174029702656","Catalog Record")</f>
        <v/>
      </c>
      <c r="AV198">
        <f>HYPERLINK("http://www.worldcat.org/oclc/12369849","WorldCat Record")</f>
        <v/>
      </c>
      <c r="AW198" t="inlineStr">
        <is>
          <t>5015702:eng</t>
        </is>
      </c>
      <c r="AX198" t="inlineStr">
        <is>
          <t>12369849</t>
        </is>
      </c>
      <c r="AY198" t="inlineStr">
        <is>
          <t>991001174029702656</t>
        </is>
      </c>
      <c r="AZ198" t="inlineStr">
        <is>
          <t>991001174029702656</t>
        </is>
      </c>
      <c r="BA198" t="inlineStr">
        <is>
          <t>2266852300002656</t>
        </is>
      </c>
      <c r="BB198" t="inlineStr">
        <is>
          <t>BOOK</t>
        </is>
      </c>
      <c r="BD198" t="inlineStr">
        <is>
          <t>9780471820475</t>
        </is>
      </c>
      <c r="BE198" t="inlineStr">
        <is>
          <t>30001000307662</t>
        </is>
      </c>
      <c r="BF198" t="inlineStr">
        <is>
          <t>893821020</t>
        </is>
      </c>
    </row>
    <row r="199">
      <c r="A199" t="inlineStr">
        <is>
          <t>No</t>
        </is>
      </c>
      <c r="B199" t="inlineStr">
        <is>
          <t>CUHSL</t>
        </is>
      </c>
      <c r="C199" t="inlineStr">
        <is>
          <t>SHELVES</t>
        </is>
      </c>
      <c r="D199" t="inlineStr">
        <is>
          <t>W 20.5 G311i 1993</t>
        </is>
      </c>
      <c r="E199" t="inlineStr">
        <is>
          <t>0                      W  0020500G  311i        1993</t>
        </is>
      </c>
      <c r="F199" t="inlineStr">
        <is>
          <t>Interpreting the medical literature / Stephen H. Gehlbach.</t>
        </is>
      </c>
      <c r="H199" t="inlineStr">
        <is>
          <t>No</t>
        </is>
      </c>
      <c r="I199" t="inlineStr">
        <is>
          <t>1</t>
        </is>
      </c>
      <c r="J199" t="inlineStr">
        <is>
          <t>No</t>
        </is>
      </c>
      <c r="K199" t="inlineStr">
        <is>
          <t>Yes</t>
        </is>
      </c>
      <c r="L199" t="inlineStr">
        <is>
          <t>0</t>
        </is>
      </c>
      <c r="M199" t="inlineStr">
        <is>
          <t>Gehlbach, Stephen H.</t>
        </is>
      </c>
      <c r="N199" t="inlineStr">
        <is>
          <t>New York : McGraw-Hill, Health Professions Division, c1993.</t>
        </is>
      </c>
      <c r="O199" t="inlineStr">
        <is>
          <t>1993</t>
        </is>
      </c>
      <c r="P199" t="inlineStr">
        <is>
          <t>3rd ed.</t>
        </is>
      </c>
      <c r="Q199" t="inlineStr">
        <is>
          <t>eng</t>
        </is>
      </c>
      <c r="R199" t="inlineStr">
        <is>
          <t>nyu</t>
        </is>
      </c>
      <c r="T199" t="inlineStr">
        <is>
          <t xml:space="preserve">W  </t>
        </is>
      </c>
      <c r="U199" t="n">
        <v>24</v>
      </c>
      <c r="V199" t="n">
        <v>24</v>
      </c>
      <c r="W199" t="inlineStr">
        <is>
          <t>2008-08-18</t>
        </is>
      </c>
      <c r="X199" t="inlineStr">
        <is>
          <t>2008-08-18</t>
        </is>
      </c>
      <c r="Y199" t="inlineStr">
        <is>
          <t>1993-09-02</t>
        </is>
      </c>
      <c r="Z199" t="inlineStr">
        <is>
          <t>1993-09-02</t>
        </is>
      </c>
      <c r="AA199" t="n">
        <v>264</v>
      </c>
      <c r="AB199" t="n">
        <v>194</v>
      </c>
      <c r="AC199" t="n">
        <v>479</v>
      </c>
      <c r="AD199" t="n">
        <v>1</v>
      </c>
      <c r="AE199" t="n">
        <v>1</v>
      </c>
      <c r="AF199" t="n">
        <v>3</v>
      </c>
      <c r="AG199" t="n">
        <v>16</v>
      </c>
      <c r="AH199" t="n">
        <v>0</v>
      </c>
      <c r="AI199" t="n">
        <v>6</v>
      </c>
      <c r="AJ199" t="n">
        <v>1</v>
      </c>
      <c r="AK199" t="n">
        <v>4</v>
      </c>
      <c r="AL199" t="n">
        <v>3</v>
      </c>
      <c r="AM199" t="n">
        <v>9</v>
      </c>
      <c r="AN199" t="n">
        <v>0</v>
      </c>
      <c r="AO199" t="n">
        <v>0</v>
      </c>
      <c r="AP199" t="n">
        <v>0</v>
      </c>
      <c r="AQ199" t="n">
        <v>0</v>
      </c>
      <c r="AR199" t="inlineStr">
        <is>
          <t>No</t>
        </is>
      </c>
      <c r="AS199" t="inlineStr">
        <is>
          <t>Yes</t>
        </is>
      </c>
      <c r="AT199">
        <f>HYPERLINK("http://catalog.hathitrust.org/Record/002884237","HathiTrust Record")</f>
        <v/>
      </c>
      <c r="AU199">
        <f>HYPERLINK("https://creighton-primo.hosted.exlibrisgroup.com/primo-explore/search?tab=default_tab&amp;search_scope=EVERYTHING&amp;vid=01CRU&amp;lang=en_US&amp;offset=0&amp;query=any,contains,991001514059702656","Catalog Record")</f>
        <v/>
      </c>
      <c r="AV199">
        <f>HYPERLINK("http://www.worldcat.org/oclc/26502331","WorldCat Record")</f>
        <v/>
      </c>
      <c r="AW199" t="inlineStr">
        <is>
          <t>2537596:eng</t>
        </is>
      </c>
      <c r="AX199" t="inlineStr">
        <is>
          <t>26502331</t>
        </is>
      </c>
      <c r="AY199" t="inlineStr">
        <is>
          <t>991001514059702656</t>
        </is>
      </c>
      <c r="AZ199" t="inlineStr">
        <is>
          <t>991001514059702656</t>
        </is>
      </c>
      <c r="BA199" t="inlineStr">
        <is>
          <t>2256764140002656</t>
        </is>
      </c>
      <c r="BB199" t="inlineStr">
        <is>
          <t>BOOK</t>
        </is>
      </c>
      <c r="BD199" t="inlineStr">
        <is>
          <t>9780071054515</t>
        </is>
      </c>
      <c r="BE199" t="inlineStr">
        <is>
          <t>30001002601468</t>
        </is>
      </c>
      <c r="BF199" t="inlineStr">
        <is>
          <t>893638403</t>
        </is>
      </c>
    </row>
    <row r="200">
      <c r="A200" t="inlineStr">
        <is>
          <t>No</t>
        </is>
      </c>
      <c r="B200" t="inlineStr">
        <is>
          <t>CUHSL</t>
        </is>
      </c>
      <c r="C200" t="inlineStr">
        <is>
          <t>SHELVES</t>
        </is>
      </c>
      <c r="D200" t="inlineStr">
        <is>
          <t>W 20.5 H199m 1947</t>
        </is>
      </c>
      <c r="E200" t="inlineStr">
        <is>
          <t>0                      W  0020500H  199m        1947</t>
        </is>
      </c>
      <c r="F200" t="inlineStr">
        <is>
          <t>Medical research in France during the war, 1939-1945 / Thirty articles gathered and presented by Jean Hamburger.</t>
        </is>
      </c>
      <c r="H200" t="inlineStr">
        <is>
          <t>No</t>
        </is>
      </c>
      <c r="I200" t="inlineStr">
        <is>
          <t>1</t>
        </is>
      </c>
      <c r="J200" t="inlineStr">
        <is>
          <t>No</t>
        </is>
      </c>
      <c r="K200" t="inlineStr">
        <is>
          <t>No</t>
        </is>
      </c>
      <c r="L200" t="inlineStr">
        <is>
          <t>0</t>
        </is>
      </c>
      <c r="M200" t="inlineStr">
        <is>
          <t>Hamburger, Jean compiler.</t>
        </is>
      </c>
      <c r="N200" t="inlineStr">
        <is>
          <t>[Paris] : Editions Medicales Flammarion, [1947?]</t>
        </is>
      </c>
      <c r="O200" t="inlineStr">
        <is>
          <t>1947</t>
        </is>
      </c>
      <c r="Q200" t="inlineStr">
        <is>
          <t>eng</t>
        </is>
      </c>
      <c r="R200" t="inlineStr">
        <is>
          <t xml:space="preserve">fr </t>
        </is>
      </c>
      <c r="T200" t="inlineStr">
        <is>
          <t xml:space="preserve">W  </t>
        </is>
      </c>
      <c r="U200" t="n">
        <v>1</v>
      </c>
      <c r="V200" t="n">
        <v>1</v>
      </c>
      <c r="W200" t="inlineStr">
        <is>
          <t>1992-02-25</t>
        </is>
      </c>
      <c r="X200" t="inlineStr">
        <is>
          <t>1992-02-25</t>
        </is>
      </c>
      <c r="Y200" t="inlineStr">
        <is>
          <t>1987-10-01</t>
        </is>
      </c>
      <c r="Z200" t="inlineStr">
        <is>
          <t>1987-10-01</t>
        </is>
      </c>
      <c r="AA200" t="n">
        <v>94</v>
      </c>
      <c r="AB200" t="n">
        <v>70</v>
      </c>
      <c r="AC200" t="n">
        <v>74</v>
      </c>
      <c r="AD200" t="n">
        <v>1</v>
      </c>
      <c r="AE200" t="n">
        <v>1</v>
      </c>
      <c r="AF200" t="n">
        <v>0</v>
      </c>
      <c r="AG200" t="n">
        <v>0</v>
      </c>
      <c r="AH200" t="n">
        <v>0</v>
      </c>
      <c r="AI200" t="n">
        <v>0</v>
      </c>
      <c r="AJ200" t="n">
        <v>0</v>
      </c>
      <c r="AK200" t="n">
        <v>0</v>
      </c>
      <c r="AL200" t="n">
        <v>0</v>
      </c>
      <c r="AM200" t="n">
        <v>0</v>
      </c>
      <c r="AN200" t="n">
        <v>0</v>
      </c>
      <c r="AO200" t="n">
        <v>0</v>
      </c>
      <c r="AP200" t="n">
        <v>0</v>
      </c>
      <c r="AQ200" t="n">
        <v>0</v>
      </c>
      <c r="AR200" t="inlineStr">
        <is>
          <t>No</t>
        </is>
      </c>
      <c r="AS200" t="inlineStr">
        <is>
          <t>Yes</t>
        </is>
      </c>
      <c r="AT200">
        <f>HYPERLINK("http://catalog.hathitrust.org/Record/006703238","HathiTrust Record")</f>
        <v/>
      </c>
      <c r="AU200">
        <f>HYPERLINK("https://creighton-primo.hosted.exlibrisgroup.com/primo-explore/search?tab=default_tab&amp;search_scope=EVERYTHING&amp;vid=01CRU&amp;lang=en_US&amp;offset=0&amp;query=any,contains,991001174149702656","Catalog Record")</f>
        <v/>
      </c>
      <c r="AV200">
        <f>HYPERLINK("http://www.worldcat.org/oclc/14731443","WorldCat Record")</f>
        <v/>
      </c>
      <c r="AW200" t="inlineStr">
        <is>
          <t>5682494:eng</t>
        </is>
      </c>
      <c r="AX200" t="inlineStr">
        <is>
          <t>14731443</t>
        </is>
      </c>
      <c r="AY200" t="inlineStr">
        <is>
          <t>991001174149702656</t>
        </is>
      </c>
      <c r="AZ200" t="inlineStr">
        <is>
          <t>991001174149702656</t>
        </is>
      </c>
      <c r="BA200" t="inlineStr">
        <is>
          <t>2259250080002656</t>
        </is>
      </c>
      <c r="BB200" t="inlineStr">
        <is>
          <t>BOOK</t>
        </is>
      </c>
      <c r="BE200" t="inlineStr">
        <is>
          <t>30001000307670</t>
        </is>
      </c>
      <c r="BF200" t="inlineStr">
        <is>
          <t>893369170</t>
        </is>
      </c>
    </row>
    <row r="201">
      <c r="A201" t="inlineStr">
        <is>
          <t>No</t>
        </is>
      </c>
      <c r="B201" t="inlineStr">
        <is>
          <t>CUHSL</t>
        </is>
      </c>
      <c r="C201" t="inlineStr">
        <is>
          <t>SHELVES</t>
        </is>
      </c>
      <c r="D201" t="inlineStr">
        <is>
          <t>W 20.5 H434 1971</t>
        </is>
      </c>
      <c r="E201" t="inlineStr">
        <is>
          <t>0                      W  0020500H  434         1971</t>
        </is>
      </c>
      <c r="F201" t="inlineStr">
        <is>
          <t>Health research : the systems approach / edited by Harriet H. Werley ... [et al.].</t>
        </is>
      </c>
      <c r="H201" t="inlineStr">
        <is>
          <t>No</t>
        </is>
      </c>
      <c r="I201" t="inlineStr">
        <is>
          <t>1</t>
        </is>
      </c>
      <c r="J201" t="inlineStr">
        <is>
          <t>No</t>
        </is>
      </c>
      <c r="K201" t="inlineStr">
        <is>
          <t>No</t>
        </is>
      </c>
      <c r="L201" t="inlineStr">
        <is>
          <t>0</t>
        </is>
      </c>
      <c r="N201" t="inlineStr">
        <is>
          <t>-- New York : Springer, c1976.</t>
        </is>
      </c>
      <c r="O201" t="inlineStr">
        <is>
          <t>1976</t>
        </is>
      </c>
      <c r="Q201" t="inlineStr">
        <is>
          <t>eng</t>
        </is>
      </c>
      <c r="R201" t="inlineStr">
        <is>
          <t>nyu</t>
        </is>
      </c>
      <c r="T201" t="inlineStr">
        <is>
          <t xml:space="preserve">W  </t>
        </is>
      </c>
      <c r="U201" t="n">
        <v>3</v>
      </c>
      <c r="V201" t="n">
        <v>3</v>
      </c>
      <c r="W201" t="inlineStr">
        <is>
          <t>1998-04-08</t>
        </is>
      </c>
      <c r="X201" t="inlineStr">
        <is>
          <t>1998-04-08</t>
        </is>
      </c>
      <c r="Y201" t="inlineStr">
        <is>
          <t>1987-10-01</t>
        </is>
      </c>
      <c r="Z201" t="inlineStr">
        <is>
          <t>1987-10-01</t>
        </is>
      </c>
      <c r="AA201" t="n">
        <v>321</v>
      </c>
      <c r="AB201" t="n">
        <v>267</v>
      </c>
      <c r="AC201" t="n">
        <v>270</v>
      </c>
      <c r="AD201" t="n">
        <v>3</v>
      </c>
      <c r="AE201" t="n">
        <v>3</v>
      </c>
      <c r="AF201" t="n">
        <v>11</v>
      </c>
      <c r="AG201" t="n">
        <v>11</v>
      </c>
      <c r="AH201" t="n">
        <v>2</v>
      </c>
      <c r="AI201" t="n">
        <v>2</v>
      </c>
      <c r="AJ201" t="n">
        <v>3</v>
      </c>
      <c r="AK201" t="n">
        <v>3</v>
      </c>
      <c r="AL201" t="n">
        <v>6</v>
      </c>
      <c r="AM201" t="n">
        <v>6</v>
      </c>
      <c r="AN201" t="n">
        <v>2</v>
      </c>
      <c r="AO201" t="n">
        <v>2</v>
      </c>
      <c r="AP201" t="n">
        <v>0</v>
      </c>
      <c r="AQ201" t="n">
        <v>0</v>
      </c>
      <c r="AR201" t="inlineStr">
        <is>
          <t>No</t>
        </is>
      </c>
      <c r="AS201" t="inlineStr">
        <is>
          <t>Yes</t>
        </is>
      </c>
      <c r="AT201">
        <f>HYPERLINK("http://catalog.hathitrust.org/Record/000039165","HathiTrust Record")</f>
        <v/>
      </c>
      <c r="AU201">
        <f>HYPERLINK("https://creighton-primo.hosted.exlibrisgroup.com/primo-explore/search?tab=default_tab&amp;search_scope=EVERYTHING&amp;vid=01CRU&amp;lang=en_US&amp;offset=0&amp;query=any,contains,991001174199702656","Catalog Record")</f>
        <v/>
      </c>
      <c r="AV201">
        <f>HYPERLINK("http://www.worldcat.org/oclc/1340439","WorldCat Record")</f>
        <v/>
      </c>
      <c r="AW201" t="inlineStr">
        <is>
          <t>423288050:eng</t>
        </is>
      </c>
      <c r="AX201" t="inlineStr">
        <is>
          <t>1340439</t>
        </is>
      </c>
      <c r="AY201" t="inlineStr">
        <is>
          <t>991001174199702656</t>
        </is>
      </c>
      <c r="AZ201" t="inlineStr">
        <is>
          <t>991001174199702656</t>
        </is>
      </c>
      <c r="BA201" t="inlineStr">
        <is>
          <t>2261922080002656</t>
        </is>
      </c>
      <c r="BB201" t="inlineStr">
        <is>
          <t>BOOK</t>
        </is>
      </c>
      <c r="BD201" t="inlineStr">
        <is>
          <t>9780826117106</t>
        </is>
      </c>
      <c r="BE201" t="inlineStr">
        <is>
          <t>30001000307688</t>
        </is>
      </c>
      <c r="BF201" t="inlineStr">
        <is>
          <t>893834593</t>
        </is>
      </c>
    </row>
    <row r="202">
      <c r="A202" t="inlineStr">
        <is>
          <t>No</t>
        </is>
      </c>
      <c r="B202" t="inlineStr">
        <is>
          <t>CUHSL</t>
        </is>
      </c>
      <c r="C202" t="inlineStr">
        <is>
          <t>SHELVES</t>
        </is>
      </c>
      <c r="D202" t="inlineStr">
        <is>
          <t>W 20.5 H4343r 1988</t>
        </is>
      </c>
      <c r="E202" t="inlineStr">
        <is>
          <t>0                      W  0020500H  4343r       1988</t>
        </is>
      </c>
      <c r="F202" t="inlineStr">
        <is>
          <t>Research for health professionals : design, analysis, and ethics / Robert Proulx Heaney, Charles J. Dougherty.</t>
        </is>
      </c>
      <c r="H202" t="inlineStr">
        <is>
          <t>No</t>
        </is>
      </c>
      <c r="I202" t="inlineStr">
        <is>
          <t>1</t>
        </is>
      </c>
      <c r="J202" t="inlineStr">
        <is>
          <t>No</t>
        </is>
      </c>
      <c r="K202" t="inlineStr">
        <is>
          <t>Yes</t>
        </is>
      </c>
      <c r="L202" t="inlineStr">
        <is>
          <t>0</t>
        </is>
      </c>
      <c r="M202" t="inlineStr">
        <is>
          <t>Heaney, Robert P. (Robert Proulx), 1927-2016.</t>
        </is>
      </c>
      <c r="N202" t="inlineStr">
        <is>
          <t>Ames : Iowa State University Press, 1988.</t>
        </is>
      </c>
      <c r="O202" t="inlineStr">
        <is>
          <t>1988</t>
        </is>
      </c>
      <c r="P202" t="inlineStr">
        <is>
          <t>1st ed.</t>
        </is>
      </c>
      <c r="Q202" t="inlineStr">
        <is>
          <t>eng</t>
        </is>
      </c>
      <c r="R202" t="inlineStr">
        <is>
          <t>iau</t>
        </is>
      </c>
      <c r="T202" t="inlineStr">
        <is>
          <t xml:space="preserve">W  </t>
        </is>
      </c>
      <c r="U202" t="n">
        <v>57</v>
      </c>
      <c r="V202" t="n">
        <v>57</v>
      </c>
      <c r="W202" t="inlineStr">
        <is>
          <t>2008-01-21</t>
        </is>
      </c>
      <c r="X202" t="inlineStr">
        <is>
          <t>2008-01-21</t>
        </is>
      </c>
      <c r="Y202" t="inlineStr">
        <is>
          <t>1991-10-31</t>
        </is>
      </c>
      <c r="Z202" t="inlineStr">
        <is>
          <t>1991-10-31</t>
        </is>
      </c>
      <c r="AA202" t="n">
        <v>199</v>
      </c>
      <c r="AB202" t="n">
        <v>172</v>
      </c>
      <c r="AC202" t="n">
        <v>179</v>
      </c>
      <c r="AD202" t="n">
        <v>1</v>
      </c>
      <c r="AE202" t="n">
        <v>1</v>
      </c>
      <c r="AF202" t="n">
        <v>10</v>
      </c>
      <c r="AG202" t="n">
        <v>10</v>
      </c>
      <c r="AH202" t="n">
        <v>2</v>
      </c>
      <c r="AI202" t="n">
        <v>2</v>
      </c>
      <c r="AJ202" t="n">
        <v>4</v>
      </c>
      <c r="AK202" t="n">
        <v>4</v>
      </c>
      <c r="AL202" t="n">
        <v>8</v>
      </c>
      <c r="AM202" t="n">
        <v>8</v>
      </c>
      <c r="AN202" t="n">
        <v>0</v>
      </c>
      <c r="AO202" t="n">
        <v>0</v>
      </c>
      <c r="AP202" t="n">
        <v>1</v>
      </c>
      <c r="AQ202" t="n">
        <v>1</v>
      </c>
      <c r="AR202" t="inlineStr">
        <is>
          <t>No</t>
        </is>
      </c>
      <c r="AS202" t="inlineStr">
        <is>
          <t>Yes</t>
        </is>
      </c>
      <c r="AT202">
        <f>HYPERLINK("http://catalog.hathitrust.org/Record/000919652","HathiTrust Record")</f>
        <v/>
      </c>
      <c r="AU202">
        <f>HYPERLINK("https://creighton-primo.hosted.exlibrisgroup.com/primo-explore/search?tab=default_tab&amp;search_scope=EVERYTHING&amp;vid=01CRU&amp;lang=en_US&amp;offset=0&amp;query=any,contains,991000347699702656","Catalog Record")</f>
        <v/>
      </c>
      <c r="AV202">
        <f>HYPERLINK("http://www.worldcat.org/oclc/16982152","WorldCat Record")</f>
        <v/>
      </c>
      <c r="AW202" t="inlineStr">
        <is>
          <t>11933432:eng</t>
        </is>
      </c>
      <c r="AX202" t="inlineStr">
        <is>
          <t>16982152</t>
        </is>
      </c>
      <c r="AY202" t="inlineStr">
        <is>
          <t>991000347699702656</t>
        </is>
      </c>
      <c r="AZ202" t="inlineStr">
        <is>
          <t>991000347699702656</t>
        </is>
      </c>
      <c r="BA202" t="inlineStr">
        <is>
          <t>2255819560002656</t>
        </is>
      </c>
      <c r="BB202" t="inlineStr">
        <is>
          <t>BOOK</t>
        </is>
      </c>
      <c r="BD202" t="inlineStr">
        <is>
          <t>9780813817125</t>
        </is>
      </c>
      <c r="BE202" t="inlineStr">
        <is>
          <t>30001002241372</t>
        </is>
      </c>
      <c r="BF202" t="inlineStr">
        <is>
          <t>893639099</t>
        </is>
      </c>
    </row>
    <row r="203">
      <c r="A203" t="inlineStr">
        <is>
          <t>No</t>
        </is>
      </c>
      <c r="B203" t="inlineStr">
        <is>
          <t>CUHSL</t>
        </is>
      </c>
      <c r="C203" t="inlineStr">
        <is>
          <t>SHELVES</t>
        </is>
      </c>
      <c r="D203" t="inlineStr">
        <is>
          <t>W 20.5 H918 1982</t>
        </is>
      </c>
      <c r="E203" t="inlineStr">
        <is>
          <t>0                      W  0020500H  918         1982</t>
        </is>
      </c>
      <c r="F203" t="inlineStr">
        <is>
          <t>Human subjects research : a handbook for institutional review boards / edited by Robert A. Greenwald and Mary Kay Ryan, and James E. Mulvihill.</t>
        </is>
      </c>
      <c r="H203" t="inlineStr">
        <is>
          <t>No</t>
        </is>
      </c>
      <c r="I203" t="inlineStr">
        <is>
          <t>1</t>
        </is>
      </c>
      <c r="J203" t="inlineStr">
        <is>
          <t>Yes</t>
        </is>
      </c>
      <c r="K203" t="inlineStr">
        <is>
          <t>No</t>
        </is>
      </c>
      <c r="L203" t="inlineStr">
        <is>
          <t>0</t>
        </is>
      </c>
      <c r="N203" t="inlineStr">
        <is>
          <t>New York : Plenum Press, c1982.</t>
        </is>
      </c>
      <c r="O203" t="inlineStr">
        <is>
          <t>1982</t>
        </is>
      </c>
      <c r="Q203" t="inlineStr">
        <is>
          <t>eng</t>
        </is>
      </c>
      <c r="R203" t="inlineStr">
        <is>
          <t>xxu</t>
        </is>
      </c>
      <c r="T203" t="inlineStr">
        <is>
          <t xml:space="preserve">W  </t>
        </is>
      </c>
      <c r="U203" t="n">
        <v>13</v>
      </c>
      <c r="V203" t="n">
        <v>13</v>
      </c>
      <c r="W203" t="inlineStr">
        <is>
          <t>1998-05-03</t>
        </is>
      </c>
      <c r="X203" t="inlineStr">
        <is>
          <t>1998-05-03</t>
        </is>
      </c>
      <c r="Y203" t="inlineStr">
        <is>
          <t>1987-10-01</t>
        </is>
      </c>
      <c r="Z203" t="inlineStr">
        <is>
          <t>1987-10-01</t>
        </is>
      </c>
      <c r="AA203" t="n">
        <v>348</v>
      </c>
      <c r="AB203" t="n">
        <v>297</v>
      </c>
      <c r="AC203" t="n">
        <v>313</v>
      </c>
      <c r="AD203" t="n">
        <v>2</v>
      </c>
      <c r="AE203" t="n">
        <v>2</v>
      </c>
      <c r="AF203" t="n">
        <v>12</v>
      </c>
      <c r="AG203" t="n">
        <v>13</v>
      </c>
      <c r="AH203" t="n">
        <v>1</v>
      </c>
      <c r="AI203" t="n">
        <v>2</v>
      </c>
      <c r="AJ203" t="n">
        <v>4</v>
      </c>
      <c r="AK203" t="n">
        <v>4</v>
      </c>
      <c r="AL203" t="n">
        <v>6</v>
      </c>
      <c r="AM203" t="n">
        <v>7</v>
      </c>
      <c r="AN203" t="n">
        <v>0</v>
      </c>
      <c r="AO203" t="n">
        <v>0</v>
      </c>
      <c r="AP203" t="n">
        <v>2</v>
      </c>
      <c r="AQ203" t="n">
        <v>2</v>
      </c>
      <c r="AR203" t="inlineStr">
        <is>
          <t>No</t>
        </is>
      </c>
      <c r="AS203" t="inlineStr">
        <is>
          <t>Yes</t>
        </is>
      </c>
      <c r="AT203">
        <f>HYPERLINK("http://catalog.hathitrust.org/Record/000311960","HathiTrust Record")</f>
        <v/>
      </c>
      <c r="AU203">
        <f>HYPERLINK("https://creighton-primo.hosted.exlibrisgroup.com/primo-explore/search?tab=default_tab&amp;search_scope=EVERYTHING&amp;vid=01CRU&amp;lang=en_US&amp;offset=0&amp;query=any,contains,991001174279702656","Catalog Record")</f>
        <v/>
      </c>
      <c r="AV203">
        <f>HYPERLINK("http://www.worldcat.org/oclc/8386438","WorldCat Record")</f>
        <v/>
      </c>
      <c r="AW203" t="inlineStr">
        <is>
          <t>836692078:eng</t>
        </is>
      </c>
      <c r="AX203" t="inlineStr">
        <is>
          <t>8386438</t>
        </is>
      </c>
      <c r="AY203" t="inlineStr">
        <is>
          <t>991001174279702656</t>
        </is>
      </c>
      <c r="AZ203" t="inlineStr">
        <is>
          <t>991001174279702656</t>
        </is>
      </c>
      <c r="BA203" t="inlineStr">
        <is>
          <t>2265264840002656</t>
        </is>
      </c>
      <c r="BB203" t="inlineStr">
        <is>
          <t>BOOK</t>
        </is>
      </c>
      <c r="BD203" t="inlineStr">
        <is>
          <t>9780306409202</t>
        </is>
      </c>
      <c r="BE203" t="inlineStr">
        <is>
          <t>30001000307696</t>
        </is>
      </c>
      <c r="BF203" t="inlineStr">
        <is>
          <t>893168053</t>
        </is>
      </c>
    </row>
    <row r="204">
      <c r="A204" t="inlineStr">
        <is>
          <t>No</t>
        </is>
      </c>
      <c r="B204" t="inlineStr">
        <is>
          <t>CUHSL</t>
        </is>
      </c>
      <c r="C204" t="inlineStr">
        <is>
          <t>SHELVES</t>
        </is>
      </c>
      <c r="D204" t="inlineStr">
        <is>
          <t>W20.5 K92s 2003</t>
        </is>
      </c>
      <c r="E204" t="inlineStr">
        <is>
          <t>0                      W  0020500K  92s         2003</t>
        </is>
      </c>
      <c r="F204" t="inlineStr">
        <is>
          <t>Science in the private interest : has the lure of profits corrupted biomedical research? / Sheldon Krimsky.</t>
        </is>
      </c>
      <c r="H204" t="inlineStr">
        <is>
          <t>No</t>
        </is>
      </c>
      <c r="I204" t="inlineStr">
        <is>
          <t>1</t>
        </is>
      </c>
      <c r="J204" t="inlineStr">
        <is>
          <t>No</t>
        </is>
      </c>
      <c r="K204" t="inlineStr">
        <is>
          <t>No</t>
        </is>
      </c>
      <c r="L204" t="inlineStr">
        <is>
          <t>0</t>
        </is>
      </c>
      <c r="M204" t="inlineStr">
        <is>
          <t>Krimsky, Sheldon.</t>
        </is>
      </c>
      <c r="N204" t="inlineStr">
        <is>
          <t>Lanham : Rowman &amp; Littlefield Publishers, c2003.</t>
        </is>
      </c>
      <c r="O204" t="inlineStr">
        <is>
          <t>2003</t>
        </is>
      </c>
      <c r="Q204" t="inlineStr">
        <is>
          <t>eng</t>
        </is>
      </c>
      <c r="R204" t="inlineStr">
        <is>
          <t>mdu</t>
        </is>
      </c>
      <c r="T204" t="inlineStr">
        <is>
          <t xml:space="preserve">W  </t>
        </is>
      </c>
      <c r="U204" t="n">
        <v>0</v>
      </c>
      <c r="V204" t="n">
        <v>0</v>
      </c>
      <c r="W204" t="inlineStr">
        <is>
          <t>2004-03-05</t>
        </is>
      </c>
      <c r="X204" t="inlineStr">
        <is>
          <t>2004-03-05</t>
        </is>
      </c>
      <c r="Y204" t="inlineStr">
        <is>
          <t>2004-02-24</t>
        </is>
      </c>
      <c r="Z204" t="inlineStr">
        <is>
          <t>2004-02-24</t>
        </is>
      </c>
      <c r="AA204" t="n">
        <v>430</v>
      </c>
      <c r="AB204" t="n">
        <v>322</v>
      </c>
      <c r="AC204" t="n">
        <v>354</v>
      </c>
      <c r="AD204" t="n">
        <v>4</v>
      </c>
      <c r="AE204" t="n">
        <v>4</v>
      </c>
      <c r="AF204" t="n">
        <v>21</v>
      </c>
      <c r="AG204" t="n">
        <v>21</v>
      </c>
      <c r="AH204" t="n">
        <v>7</v>
      </c>
      <c r="AI204" t="n">
        <v>7</v>
      </c>
      <c r="AJ204" t="n">
        <v>4</v>
      </c>
      <c r="AK204" t="n">
        <v>4</v>
      </c>
      <c r="AL204" t="n">
        <v>9</v>
      </c>
      <c r="AM204" t="n">
        <v>9</v>
      </c>
      <c r="AN204" t="n">
        <v>2</v>
      </c>
      <c r="AO204" t="n">
        <v>2</v>
      </c>
      <c r="AP204" t="n">
        <v>4</v>
      </c>
      <c r="AQ204" t="n">
        <v>4</v>
      </c>
      <c r="AR204" t="inlineStr">
        <is>
          <t>No</t>
        </is>
      </c>
      <c r="AS204" t="inlineStr">
        <is>
          <t>No</t>
        </is>
      </c>
      <c r="AU204">
        <f>HYPERLINK("https://creighton-primo.hosted.exlibrisgroup.com/primo-explore/search?tab=default_tab&amp;search_scope=EVERYTHING&amp;vid=01CRU&amp;lang=en_US&amp;offset=0&amp;query=any,contains,991000366599702656","Catalog Record")</f>
        <v/>
      </c>
      <c r="AV204">
        <f>HYPERLINK("http://www.worldcat.org/oclc/51342639","WorldCat Record")</f>
        <v/>
      </c>
      <c r="AW204" t="inlineStr">
        <is>
          <t>739978:eng</t>
        </is>
      </c>
      <c r="AX204" t="inlineStr">
        <is>
          <t>51342639</t>
        </is>
      </c>
      <c r="AY204" t="inlineStr">
        <is>
          <t>991000366599702656</t>
        </is>
      </c>
      <c r="AZ204" t="inlineStr">
        <is>
          <t>991000366599702656</t>
        </is>
      </c>
      <c r="BA204" t="inlineStr">
        <is>
          <t>2270483070002656</t>
        </is>
      </c>
      <c r="BB204" t="inlineStr">
        <is>
          <t>BOOK</t>
        </is>
      </c>
      <c r="BD204" t="inlineStr">
        <is>
          <t>9780742514799</t>
        </is>
      </c>
      <c r="BE204" t="inlineStr">
        <is>
          <t>30001004509594</t>
        </is>
      </c>
      <c r="BF204" t="inlineStr">
        <is>
          <t>893553455</t>
        </is>
      </c>
    </row>
    <row r="205">
      <c r="A205" t="inlineStr">
        <is>
          <t>No</t>
        </is>
      </c>
      <c r="B205" t="inlineStr">
        <is>
          <t>CUHSL</t>
        </is>
      </c>
      <c r="C205" t="inlineStr">
        <is>
          <t>SHELVES</t>
        </is>
      </c>
      <c r="D205" t="inlineStr">
        <is>
          <t>W 20.5 L524s 1988</t>
        </is>
      </c>
      <c r="E205" t="inlineStr">
        <is>
          <t>0                      W  0020500L  524s        1988</t>
        </is>
      </c>
      <c r="F205" t="inlineStr">
        <is>
          <t>Summary : fetal research and fetal tissue research / Dorothy Lehrman.</t>
        </is>
      </c>
      <c r="H205" t="inlineStr">
        <is>
          <t>No</t>
        </is>
      </c>
      <c r="I205" t="inlineStr">
        <is>
          <t>1</t>
        </is>
      </c>
      <c r="J205" t="inlineStr">
        <is>
          <t>No</t>
        </is>
      </c>
      <c r="K205" t="inlineStr">
        <is>
          <t>No</t>
        </is>
      </c>
      <c r="L205" t="inlineStr">
        <is>
          <t>0</t>
        </is>
      </c>
      <c r="M205" t="inlineStr">
        <is>
          <t>Lehrman, Dorothy.</t>
        </is>
      </c>
      <c r="N205" t="inlineStr">
        <is>
          <t>Washington, D.C. : Association of American Medical Colleges, c1988.</t>
        </is>
      </c>
      <c r="O205" t="inlineStr">
        <is>
          <t>1988</t>
        </is>
      </c>
      <c r="Q205" t="inlineStr">
        <is>
          <t>eng</t>
        </is>
      </c>
      <c r="R205" t="inlineStr">
        <is>
          <t>dcu</t>
        </is>
      </c>
      <c r="T205" t="inlineStr">
        <is>
          <t xml:space="preserve">W  </t>
        </is>
      </c>
      <c r="U205" t="n">
        <v>20</v>
      </c>
      <c r="V205" t="n">
        <v>20</v>
      </c>
      <c r="W205" t="inlineStr">
        <is>
          <t>2001-03-03</t>
        </is>
      </c>
      <c r="X205" t="inlineStr">
        <is>
          <t>2001-03-03</t>
        </is>
      </c>
      <c r="Y205" t="inlineStr">
        <is>
          <t>1989-02-18</t>
        </is>
      </c>
      <c r="Z205" t="inlineStr">
        <is>
          <t>1989-02-18</t>
        </is>
      </c>
      <c r="AA205" t="n">
        <v>16</v>
      </c>
      <c r="AB205" t="n">
        <v>12</v>
      </c>
      <c r="AC205" t="n">
        <v>12</v>
      </c>
      <c r="AD205" t="n">
        <v>1</v>
      </c>
      <c r="AE205" t="n">
        <v>1</v>
      </c>
      <c r="AF205" t="n">
        <v>0</v>
      </c>
      <c r="AG205" t="n">
        <v>0</v>
      </c>
      <c r="AH205" t="n">
        <v>0</v>
      </c>
      <c r="AI205" t="n">
        <v>0</v>
      </c>
      <c r="AJ205" t="n">
        <v>0</v>
      </c>
      <c r="AK205" t="n">
        <v>0</v>
      </c>
      <c r="AL205" t="n">
        <v>0</v>
      </c>
      <c r="AM205" t="n">
        <v>0</v>
      </c>
      <c r="AN205" t="n">
        <v>0</v>
      </c>
      <c r="AO205" t="n">
        <v>0</v>
      </c>
      <c r="AP205" t="n">
        <v>0</v>
      </c>
      <c r="AQ205" t="n">
        <v>0</v>
      </c>
      <c r="AR205" t="inlineStr">
        <is>
          <t>No</t>
        </is>
      </c>
      <c r="AS205" t="inlineStr">
        <is>
          <t>No</t>
        </is>
      </c>
      <c r="AU205">
        <f>HYPERLINK("https://creighton-primo.hosted.exlibrisgroup.com/primo-explore/search?tab=default_tab&amp;search_scope=EVERYTHING&amp;vid=01CRU&amp;lang=en_US&amp;offset=0&amp;query=any,contains,991001107029702656","Catalog Record")</f>
        <v/>
      </c>
      <c r="AV205">
        <f>HYPERLINK("http://www.worldcat.org/oclc/28344861","WorldCat Record")</f>
        <v/>
      </c>
      <c r="AW205" t="inlineStr">
        <is>
          <t>31002291:eng</t>
        </is>
      </c>
      <c r="AX205" t="inlineStr">
        <is>
          <t>28344861</t>
        </is>
      </c>
      <c r="AY205" t="inlineStr">
        <is>
          <t>991001107029702656</t>
        </is>
      </c>
      <c r="AZ205" t="inlineStr">
        <is>
          <t>991001107029702656</t>
        </is>
      </c>
      <c r="BA205" t="inlineStr">
        <is>
          <t>2255343950002656</t>
        </is>
      </c>
      <c r="BB205" t="inlineStr">
        <is>
          <t>BOOK</t>
        </is>
      </c>
      <c r="BE205" t="inlineStr">
        <is>
          <t>30001001611286</t>
        </is>
      </c>
      <c r="BF205" t="inlineStr">
        <is>
          <t>893460282</t>
        </is>
      </c>
    </row>
    <row r="206">
      <c r="A206" t="inlineStr">
        <is>
          <t>No</t>
        </is>
      </c>
      <c r="B206" t="inlineStr">
        <is>
          <t>CUHSL</t>
        </is>
      </c>
      <c r="C206" t="inlineStr">
        <is>
          <t>SHELVES</t>
        </is>
      </c>
      <c r="D206" t="inlineStr">
        <is>
          <t>W 20.5 M981d 1998</t>
        </is>
      </c>
      <c r="E206" t="inlineStr">
        <is>
          <t>0                      W  0020500M  981d        1998</t>
        </is>
      </c>
      <c r="F206" t="inlineStr">
        <is>
          <t>Design and analysis of group-randomized trials / David M. Murray.</t>
        </is>
      </c>
      <c r="H206" t="inlineStr">
        <is>
          <t>No</t>
        </is>
      </c>
      <c r="I206" t="inlineStr">
        <is>
          <t>1</t>
        </is>
      </c>
      <c r="J206" t="inlineStr">
        <is>
          <t>No</t>
        </is>
      </c>
      <c r="K206" t="inlineStr">
        <is>
          <t>No</t>
        </is>
      </c>
      <c r="L206" t="inlineStr">
        <is>
          <t>0</t>
        </is>
      </c>
      <c r="M206" t="inlineStr">
        <is>
          <t>Murray, David M.</t>
        </is>
      </c>
      <c r="N206" t="inlineStr">
        <is>
          <t>New York : Oxford University Press, c1998.</t>
        </is>
      </c>
      <c r="O206" t="inlineStr">
        <is>
          <t>1998</t>
        </is>
      </c>
      <c r="Q206" t="inlineStr">
        <is>
          <t>eng</t>
        </is>
      </c>
      <c r="R206" t="inlineStr">
        <is>
          <t>nyu</t>
        </is>
      </c>
      <c r="S206" t="inlineStr">
        <is>
          <t>Monographs in epidemiology and biostatistics ; v. 27 [i.e. 29]</t>
        </is>
      </c>
      <c r="T206" t="inlineStr">
        <is>
          <t xml:space="preserve">W  </t>
        </is>
      </c>
      <c r="U206" t="n">
        <v>3</v>
      </c>
      <c r="V206" t="n">
        <v>3</v>
      </c>
      <c r="W206" t="inlineStr">
        <is>
          <t>2001-10-17</t>
        </is>
      </c>
      <c r="X206" t="inlineStr">
        <is>
          <t>2001-10-17</t>
        </is>
      </c>
      <c r="Y206" t="inlineStr">
        <is>
          <t>1998-12-18</t>
        </is>
      </c>
      <c r="Z206" t="inlineStr">
        <is>
          <t>1998-12-18</t>
        </is>
      </c>
      <c r="AA206" t="n">
        <v>212</v>
      </c>
      <c r="AB206" t="n">
        <v>138</v>
      </c>
      <c r="AC206" t="n">
        <v>140</v>
      </c>
      <c r="AD206" t="n">
        <v>2</v>
      </c>
      <c r="AE206" t="n">
        <v>2</v>
      </c>
      <c r="AF206" t="n">
        <v>7</v>
      </c>
      <c r="AG206" t="n">
        <v>7</v>
      </c>
      <c r="AH206" t="n">
        <v>0</v>
      </c>
      <c r="AI206" t="n">
        <v>0</v>
      </c>
      <c r="AJ206" t="n">
        <v>1</v>
      </c>
      <c r="AK206" t="n">
        <v>1</v>
      </c>
      <c r="AL206" t="n">
        <v>5</v>
      </c>
      <c r="AM206" t="n">
        <v>5</v>
      </c>
      <c r="AN206" t="n">
        <v>1</v>
      </c>
      <c r="AO206" t="n">
        <v>1</v>
      </c>
      <c r="AP206" t="n">
        <v>0</v>
      </c>
      <c r="AQ206" t="n">
        <v>0</v>
      </c>
      <c r="AR206" t="inlineStr">
        <is>
          <t>No</t>
        </is>
      </c>
      <c r="AS206" t="inlineStr">
        <is>
          <t>Yes</t>
        </is>
      </c>
      <c r="AT206">
        <f>HYPERLINK("http://catalog.hathitrust.org/Record/003968639","HathiTrust Record")</f>
        <v/>
      </c>
      <c r="AU206">
        <f>HYPERLINK("https://creighton-primo.hosted.exlibrisgroup.com/primo-explore/search?tab=default_tab&amp;search_scope=EVERYTHING&amp;vid=01CRU&amp;lang=en_US&amp;offset=0&amp;query=any,contains,991001549179702656","Catalog Record")</f>
        <v/>
      </c>
      <c r="AV206">
        <f>HYPERLINK("http://www.worldcat.org/oclc/37024813","WorldCat Record")</f>
        <v/>
      </c>
      <c r="AW206" t="inlineStr">
        <is>
          <t>597606:eng</t>
        </is>
      </c>
      <c r="AX206" t="inlineStr">
        <is>
          <t>37024813</t>
        </is>
      </c>
      <c r="AY206" t="inlineStr">
        <is>
          <t>991001549179702656</t>
        </is>
      </c>
      <c r="AZ206" t="inlineStr">
        <is>
          <t>991001549179702656</t>
        </is>
      </c>
      <c r="BA206" t="inlineStr">
        <is>
          <t>2269109880002656</t>
        </is>
      </c>
      <c r="BB206" t="inlineStr">
        <is>
          <t>BOOK</t>
        </is>
      </c>
      <c r="BD206" t="inlineStr">
        <is>
          <t>9780195120363</t>
        </is>
      </c>
      <c r="BE206" t="inlineStr">
        <is>
          <t>30001004038610</t>
        </is>
      </c>
      <c r="BF206" t="inlineStr">
        <is>
          <t>893268630</t>
        </is>
      </c>
    </row>
    <row r="207">
      <c r="A207" t="inlineStr">
        <is>
          <t>No</t>
        </is>
      </c>
      <c r="B207" t="inlineStr">
        <is>
          <t>CUHSL</t>
        </is>
      </c>
      <c r="C207" t="inlineStr">
        <is>
          <t>SHELVES</t>
        </is>
      </c>
      <c r="D207" t="inlineStr">
        <is>
          <t>W 20.5 N277 1988</t>
        </is>
      </c>
      <c r="E207" t="inlineStr">
        <is>
          <t>0                      W  0020500N  277         1988</t>
        </is>
      </c>
      <c r="F207" t="inlineStr">
        <is>
          <t>National guide to foundation funding in health / John Clinton, editor.</t>
        </is>
      </c>
      <c r="H207" t="inlineStr">
        <is>
          <t>No</t>
        </is>
      </c>
      <c r="I207" t="inlineStr">
        <is>
          <t>1</t>
        </is>
      </c>
      <c r="J207" t="inlineStr">
        <is>
          <t>No</t>
        </is>
      </c>
      <c r="K207" t="inlineStr">
        <is>
          <t>No</t>
        </is>
      </c>
      <c r="L207" t="inlineStr">
        <is>
          <t>0</t>
        </is>
      </c>
      <c r="N207" t="inlineStr">
        <is>
          <t>[New York] : The Foundation Center, c1988.</t>
        </is>
      </c>
      <c r="O207" t="inlineStr">
        <is>
          <t>1988</t>
        </is>
      </c>
      <c r="Q207" t="inlineStr">
        <is>
          <t>eng</t>
        </is>
      </c>
      <c r="R207" t="inlineStr">
        <is>
          <t>nyu</t>
        </is>
      </c>
      <c r="T207" t="inlineStr">
        <is>
          <t xml:space="preserve">W  </t>
        </is>
      </c>
      <c r="U207" t="n">
        <v>5</v>
      </c>
      <c r="V207" t="n">
        <v>5</v>
      </c>
      <c r="W207" t="inlineStr">
        <is>
          <t>1989-01-10</t>
        </is>
      </c>
      <c r="X207" t="inlineStr">
        <is>
          <t>1989-01-10</t>
        </is>
      </c>
      <c r="Y207" t="inlineStr">
        <is>
          <t>1988-11-10</t>
        </is>
      </c>
      <c r="Z207" t="inlineStr">
        <is>
          <t>1988-11-10</t>
        </is>
      </c>
      <c r="AA207" t="n">
        <v>91</v>
      </c>
      <c r="AB207" t="n">
        <v>89</v>
      </c>
      <c r="AC207" t="n">
        <v>95</v>
      </c>
      <c r="AD207" t="n">
        <v>1</v>
      </c>
      <c r="AE207" t="n">
        <v>1</v>
      </c>
      <c r="AF207" t="n">
        <v>1</v>
      </c>
      <c r="AG207" t="n">
        <v>2</v>
      </c>
      <c r="AH207" t="n">
        <v>0</v>
      </c>
      <c r="AI207" t="n">
        <v>0</v>
      </c>
      <c r="AJ207" t="n">
        <v>0</v>
      </c>
      <c r="AK207" t="n">
        <v>0</v>
      </c>
      <c r="AL207" t="n">
        <v>0</v>
      </c>
      <c r="AM207" t="n">
        <v>1</v>
      </c>
      <c r="AN207" t="n">
        <v>0</v>
      </c>
      <c r="AO207" t="n">
        <v>0</v>
      </c>
      <c r="AP207" t="n">
        <v>1</v>
      </c>
      <c r="AQ207" t="n">
        <v>1</v>
      </c>
      <c r="AR207" t="inlineStr">
        <is>
          <t>No</t>
        </is>
      </c>
      <c r="AS207" t="inlineStr">
        <is>
          <t>Yes</t>
        </is>
      </c>
      <c r="AT207">
        <f>HYPERLINK("http://catalog.hathitrust.org/Record/001076526","HathiTrust Record")</f>
        <v/>
      </c>
      <c r="AU207">
        <f>HYPERLINK("https://creighton-primo.hosted.exlibrisgroup.com/primo-explore/search?tab=default_tab&amp;search_scope=EVERYTHING&amp;vid=01CRU&amp;lang=en_US&amp;offset=0&amp;query=any,contains,991001104079702656","Catalog Record")</f>
        <v/>
      </c>
      <c r="AV207">
        <f>HYPERLINK("http://www.worldcat.org/oclc/21413588","WorldCat Record")</f>
        <v/>
      </c>
      <c r="AW207" t="inlineStr">
        <is>
          <t>433487041:eng</t>
        </is>
      </c>
      <c r="AX207" t="inlineStr">
        <is>
          <t>21413588</t>
        </is>
      </c>
      <c r="AY207" t="inlineStr">
        <is>
          <t>991001104079702656</t>
        </is>
      </c>
      <c r="AZ207" t="inlineStr">
        <is>
          <t>991001104079702656</t>
        </is>
      </c>
      <c r="BA207" t="inlineStr">
        <is>
          <t>2257870610002656</t>
        </is>
      </c>
      <c r="BB207" t="inlineStr">
        <is>
          <t>BOOK</t>
        </is>
      </c>
      <c r="BD207" t="inlineStr">
        <is>
          <t>9780879542474</t>
        </is>
      </c>
      <c r="BE207" t="inlineStr">
        <is>
          <t>30001001610361</t>
        </is>
      </c>
      <c r="BF207" t="inlineStr">
        <is>
          <t>893374263</t>
        </is>
      </c>
    </row>
    <row r="208">
      <c r="A208" t="inlineStr">
        <is>
          <t>No</t>
        </is>
      </c>
      <c r="B208" t="inlineStr">
        <is>
          <t>CUHSL</t>
        </is>
      </c>
      <c r="C208" t="inlineStr">
        <is>
          <t>SHELVES</t>
        </is>
      </c>
      <c r="D208" t="inlineStr">
        <is>
          <t>W 20.5 N277b 1969</t>
        </is>
      </c>
      <c r="E208" t="inlineStr">
        <is>
          <t>0                      W  0020500N  277b        1969</t>
        </is>
      </c>
      <c r="F208" t="inlineStr">
        <is>
          <t>Biomedical research manpower, for the eighties / Herbert H. Rosenberg.</t>
        </is>
      </c>
      <c r="H208" t="inlineStr">
        <is>
          <t>No</t>
        </is>
      </c>
      <c r="I208" t="inlineStr">
        <is>
          <t>1</t>
        </is>
      </c>
      <c r="J208" t="inlineStr">
        <is>
          <t>No</t>
        </is>
      </c>
      <c r="K208" t="inlineStr">
        <is>
          <t>No</t>
        </is>
      </c>
      <c r="L208" t="inlineStr">
        <is>
          <t>0</t>
        </is>
      </c>
      <c r="M208" t="inlineStr">
        <is>
          <t>National Institutes of Health (U.S.). Office of Resources Analysis.</t>
        </is>
      </c>
      <c r="N208" t="inlineStr">
        <is>
          <t>Washington : U.S.G.P.O., 1968 [i.e. 1969].</t>
        </is>
      </c>
      <c r="O208" t="inlineStr">
        <is>
          <t>1969</t>
        </is>
      </c>
      <c r="Q208" t="inlineStr">
        <is>
          <t>eng</t>
        </is>
      </c>
      <c r="R208" t="inlineStr">
        <is>
          <t>dcu</t>
        </is>
      </c>
      <c r="S208" t="inlineStr">
        <is>
          <t>Resources for medical research ; report no. 11</t>
        </is>
      </c>
      <c r="T208" t="inlineStr">
        <is>
          <t xml:space="preserve">W  </t>
        </is>
      </c>
      <c r="U208" t="n">
        <v>2</v>
      </c>
      <c r="V208" t="n">
        <v>2</v>
      </c>
      <c r="W208" t="inlineStr">
        <is>
          <t>1991-09-13</t>
        </is>
      </c>
      <c r="X208" t="inlineStr">
        <is>
          <t>1991-09-13</t>
        </is>
      </c>
      <c r="Y208" t="inlineStr">
        <is>
          <t>1991-09-12</t>
        </is>
      </c>
      <c r="Z208" t="inlineStr">
        <is>
          <t>1991-09-12</t>
        </is>
      </c>
      <c r="AA208" t="n">
        <v>43</v>
      </c>
      <c r="AB208" t="n">
        <v>43</v>
      </c>
      <c r="AC208" t="n">
        <v>44</v>
      </c>
      <c r="AD208" t="n">
        <v>1</v>
      </c>
      <c r="AE208" t="n">
        <v>1</v>
      </c>
      <c r="AF208" t="n">
        <v>0</v>
      </c>
      <c r="AG208" t="n">
        <v>0</v>
      </c>
      <c r="AH208" t="n">
        <v>0</v>
      </c>
      <c r="AI208" t="n">
        <v>0</v>
      </c>
      <c r="AJ208" t="n">
        <v>0</v>
      </c>
      <c r="AK208" t="n">
        <v>0</v>
      </c>
      <c r="AL208" t="n">
        <v>0</v>
      </c>
      <c r="AM208" t="n">
        <v>0</v>
      </c>
      <c r="AN208" t="n">
        <v>0</v>
      </c>
      <c r="AO208" t="n">
        <v>0</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HYPERLINK("https://creighton-primo.hosted.exlibrisgroup.com/primo-explore/search?tab=default_tab&amp;search_scope=EVERYTHING&amp;vid=01CRU&amp;lang=en_US&amp;offset=0&amp;query=any,contains,991001014239702656","Catalog Record")</f>
        <v/>
      </c>
      <c r="AV208">
        <f>HYPERLINK("http://www.worldcat.org/oclc/20356","WorldCat Record")</f>
        <v/>
      </c>
      <c r="AW208" t="inlineStr">
        <is>
          <t>1142744:eng</t>
        </is>
      </c>
      <c r="AX208" t="inlineStr">
        <is>
          <t>20356</t>
        </is>
      </c>
      <c r="AY208" t="inlineStr">
        <is>
          <t>991001014239702656</t>
        </is>
      </c>
      <c r="AZ208" t="inlineStr">
        <is>
          <t>991001014239702656</t>
        </is>
      </c>
      <c r="BA208" t="inlineStr">
        <is>
          <t>2258376770002656</t>
        </is>
      </c>
      <c r="BB208" t="inlineStr">
        <is>
          <t>BOOK</t>
        </is>
      </c>
      <c r="BE208" t="inlineStr">
        <is>
          <t>30001002240408</t>
        </is>
      </c>
      <c r="BF208" t="inlineStr">
        <is>
          <t>893632657</t>
        </is>
      </c>
    </row>
    <row r="209">
      <c r="A209" t="inlineStr">
        <is>
          <t>No</t>
        </is>
      </c>
      <c r="B209" t="inlineStr">
        <is>
          <t>CUHSL</t>
        </is>
      </c>
      <c r="C209" t="inlineStr">
        <is>
          <t>SHELVES</t>
        </is>
      </c>
      <c r="D209" t="inlineStr">
        <is>
          <t>W 20.5 N277d 1967</t>
        </is>
      </c>
      <c r="E209" t="inlineStr">
        <is>
          <t>0                      W  0020500N  277d        1967</t>
        </is>
      </c>
      <c r="F209" t="inlineStr">
        <is>
          <t>Dollars for medical research : sources and performers, 1947-1966.</t>
        </is>
      </c>
      <c r="H209" t="inlineStr">
        <is>
          <t>No</t>
        </is>
      </c>
      <c r="I209" t="inlineStr">
        <is>
          <t>1</t>
        </is>
      </c>
      <c r="J209" t="inlineStr">
        <is>
          <t>No</t>
        </is>
      </c>
      <c r="K209" t="inlineStr">
        <is>
          <t>No</t>
        </is>
      </c>
      <c r="L209" t="inlineStr">
        <is>
          <t>0</t>
        </is>
      </c>
      <c r="M209" t="inlineStr">
        <is>
          <t>National Institutes of Health (U.S.). Resources Analysis Branch.</t>
        </is>
      </c>
      <c r="N209" t="inlineStr">
        <is>
          <t>Bethesda, Md. : U.S. Dept. of Health, Education and Welfare, Public Health Service, 1967.</t>
        </is>
      </c>
      <c r="O209" t="inlineStr">
        <is>
          <t>1967</t>
        </is>
      </c>
      <c r="Q209" t="inlineStr">
        <is>
          <t>eng</t>
        </is>
      </c>
      <c r="R209" t="inlineStr">
        <is>
          <t xml:space="preserve">xx </t>
        </is>
      </c>
      <c r="S209" t="inlineStr">
        <is>
          <t>Public Health Service publication ; no. 1612</t>
        </is>
      </c>
      <c r="T209" t="inlineStr">
        <is>
          <t xml:space="preserve">W  </t>
        </is>
      </c>
      <c r="U209" t="n">
        <v>5</v>
      </c>
      <c r="V209" t="n">
        <v>5</v>
      </c>
      <c r="W209" t="inlineStr">
        <is>
          <t>1996-09-28</t>
        </is>
      </c>
      <c r="X209" t="inlineStr">
        <is>
          <t>1996-09-28</t>
        </is>
      </c>
      <c r="Y209" t="inlineStr">
        <is>
          <t>1991-10-10</t>
        </is>
      </c>
      <c r="Z209" t="inlineStr">
        <is>
          <t>1991-10-10</t>
        </is>
      </c>
      <c r="AA209" t="n">
        <v>36</v>
      </c>
      <c r="AB209" t="n">
        <v>35</v>
      </c>
      <c r="AC209" t="n">
        <v>36</v>
      </c>
      <c r="AD209" t="n">
        <v>1</v>
      </c>
      <c r="AE209" t="n">
        <v>1</v>
      </c>
      <c r="AF209" t="n">
        <v>1</v>
      </c>
      <c r="AG209" t="n">
        <v>1</v>
      </c>
      <c r="AH209" t="n">
        <v>0</v>
      </c>
      <c r="AI209" t="n">
        <v>0</v>
      </c>
      <c r="AJ209" t="n">
        <v>0</v>
      </c>
      <c r="AK209" t="n">
        <v>0</v>
      </c>
      <c r="AL209" t="n">
        <v>1</v>
      </c>
      <c r="AM209" t="n">
        <v>1</v>
      </c>
      <c r="AN209" t="n">
        <v>0</v>
      </c>
      <c r="AO209" t="n">
        <v>0</v>
      </c>
      <c r="AP209" t="n">
        <v>0</v>
      </c>
      <c r="AQ209" t="n">
        <v>0</v>
      </c>
      <c r="AR209" t="inlineStr">
        <is>
          <t>No</t>
        </is>
      </c>
      <c r="AS209" t="inlineStr">
        <is>
          <t>No</t>
        </is>
      </c>
      <c r="AU209">
        <f>HYPERLINK("https://creighton-primo.hosted.exlibrisgroup.com/primo-explore/search?tab=default_tab&amp;search_scope=EVERYTHING&amp;vid=01CRU&amp;lang=en_US&amp;offset=0&amp;query=any,contains,991001018689702656","Catalog Record")</f>
        <v/>
      </c>
      <c r="AV209">
        <f>HYPERLINK("http://www.worldcat.org/oclc/968963","WorldCat Record")</f>
        <v/>
      </c>
      <c r="AW209" t="inlineStr">
        <is>
          <t>1925357:eng</t>
        </is>
      </c>
      <c r="AX209" t="inlineStr">
        <is>
          <t>968963</t>
        </is>
      </c>
      <c r="AY209" t="inlineStr">
        <is>
          <t>991001018689702656</t>
        </is>
      </c>
      <c r="AZ209" t="inlineStr">
        <is>
          <t>991001018689702656</t>
        </is>
      </c>
      <c r="BA209" t="inlineStr">
        <is>
          <t>2263616810002656</t>
        </is>
      </c>
      <c r="BB209" t="inlineStr">
        <is>
          <t>BOOK</t>
        </is>
      </c>
      <c r="BE209" t="inlineStr">
        <is>
          <t>30001002241166</t>
        </is>
      </c>
      <c r="BF209" t="inlineStr">
        <is>
          <t>893740678</t>
        </is>
      </c>
    </row>
    <row r="210">
      <c r="A210" t="inlineStr">
        <is>
          <t>No</t>
        </is>
      </c>
      <c r="B210" t="inlineStr">
        <is>
          <t>CUHSL</t>
        </is>
      </c>
      <c r="C210" t="inlineStr">
        <is>
          <t>SHELVES</t>
        </is>
      </c>
      <c r="D210" t="inlineStr">
        <is>
          <t>W 20.5 N813 1989</t>
        </is>
      </c>
      <c r="E210" t="inlineStr">
        <is>
          <t>0                      W  0020500N  813         1989</t>
        </is>
      </c>
      <c r="F210" t="inlineStr">
        <is>
          <t>Nonmammalian animal models for biomedical research / editor, Avril D. Woodhead ; technical editor, Katherine Vivirito.</t>
        </is>
      </c>
      <c r="H210" t="inlineStr">
        <is>
          <t>No</t>
        </is>
      </c>
      <c r="I210" t="inlineStr">
        <is>
          <t>1</t>
        </is>
      </c>
      <c r="J210" t="inlineStr">
        <is>
          <t>No</t>
        </is>
      </c>
      <c r="K210" t="inlineStr">
        <is>
          <t>No</t>
        </is>
      </c>
      <c r="L210" t="inlineStr">
        <is>
          <t>0</t>
        </is>
      </c>
      <c r="N210" t="inlineStr">
        <is>
          <t>Boca Raton, Fla. : CRC Press, c1989.</t>
        </is>
      </c>
      <c r="O210" t="inlineStr">
        <is>
          <t>1989</t>
        </is>
      </c>
      <c r="Q210" t="inlineStr">
        <is>
          <t>eng</t>
        </is>
      </c>
      <c r="R210" t="inlineStr">
        <is>
          <t>xxu</t>
        </is>
      </c>
      <c r="T210" t="inlineStr">
        <is>
          <t xml:space="preserve">W  </t>
        </is>
      </c>
      <c r="U210" t="n">
        <v>7</v>
      </c>
      <c r="V210" t="n">
        <v>7</v>
      </c>
      <c r="W210" t="inlineStr">
        <is>
          <t>1990-10-16</t>
        </is>
      </c>
      <c r="X210" t="inlineStr">
        <is>
          <t>1990-10-16</t>
        </is>
      </c>
      <c r="Y210" t="inlineStr">
        <is>
          <t>1990-06-15</t>
        </is>
      </c>
      <c r="Z210" t="inlineStr">
        <is>
          <t>1990-06-15</t>
        </is>
      </c>
      <c r="AA210" t="n">
        <v>180</v>
      </c>
      <c r="AB210" t="n">
        <v>148</v>
      </c>
      <c r="AC210" t="n">
        <v>151</v>
      </c>
      <c r="AD210" t="n">
        <v>2</v>
      </c>
      <c r="AE210" t="n">
        <v>2</v>
      </c>
      <c r="AF210" t="n">
        <v>10</v>
      </c>
      <c r="AG210" t="n">
        <v>10</v>
      </c>
      <c r="AH210" t="n">
        <v>2</v>
      </c>
      <c r="AI210" t="n">
        <v>2</v>
      </c>
      <c r="AJ210" t="n">
        <v>3</v>
      </c>
      <c r="AK210" t="n">
        <v>3</v>
      </c>
      <c r="AL210" t="n">
        <v>7</v>
      </c>
      <c r="AM210" t="n">
        <v>7</v>
      </c>
      <c r="AN210" t="n">
        <v>1</v>
      </c>
      <c r="AO210" t="n">
        <v>1</v>
      </c>
      <c r="AP210" t="n">
        <v>0</v>
      </c>
      <c r="AQ210" t="n">
        <v>0</v>
      </c>
      <c r="AR210" t="inlineStr">
        <is>
          <t>No</t>
        </is>
      </c>
      <c r="AS210" t="inlineStr">
        <is>
          <t>Yes</t>
        </is>
      </c>
      <c r="AT210">
        <f>HYPERLINK("http://catalog.hathitrust.org/Record/002733715","HathiTrust Record")</f>
        <v/>
      </c>
      <c r="AU210">
        <f>HYPERLINK("https://creighton-primo.hosted.exlibrisgroup.com/primo-explore/search?tab=default_tab&amp;search_scope=EVERYTHING&amp;vid=01CRU&amp;lang=en_US&amp;offset=0&amp;query=any,contains,991001448919702656","Catalog Record")</f>
        <v/>
      </c>
      <c r="AV210">
        <f>HYPERLINK("http://www.worldcat.org/oclc/18816053","WorldCat Record")</f>
        <v/>
      </c>
      <c r="AW210" t="inlineStr">
        <is>
          <t>18459725:eng</t>
        </is>
      </c>
      <c r="AX210" t="inlineStr">
        <is>
          <t>18816053</t>
        </is>
      </c>
      <c r="AY210" t="inlineStr">
        <is>
          <t>991001448919702656</t>
        </is>
      </c>
      <c r="AZ210" t="inlineStr">
        <is>
          <t>991001448919702656</t>
        </is>
      </c>
      <c r="BA210" t="inlineStr">
        <is>
          <t>2255454110002656</t>
        </is>
      </c>
      <c r="BB210" t="inlineStr">
        <is>
          <t>BOOK</t>
        </is>
      </c>
      <c r="BD210" t="inlineStr">
        <is>
          <t>9780849347634</t>
        </is>
      </c>
      <c r="BE210" t="inlineStr">
        <is>
          <t>30001001882176</t>
        </is>
      </c>
      <c r="BF210" t="inlineStr">
        <is>
          <t>893467982</t>
        </is>
      </c>
    </row>
    <row r="211">
      <c r="A211" t="inlineStr">
        <is>
          <t>No</t>
        </is>
      </c>
      <c r="B211" t="inlineStr">
        <is>
          <t>CUHSL</t>
        </is>
      </c>
      <c r="C211" t="inlineStr">
        <is>
          <t>SHELVES</t>
        </is>
      </c>
      <c r="D211" t="inlineStr">
        <is>
          <t>W 20.5 P741c 1983</t>
        </is>
      </c>
      <c r="E211" t="inlineStr">
        <is>
          <t>0                      W  0020500P  741c        1983</t>
        </is>
      </c>
      <c r="F211" t="inlineStr">
        <is>
          <t>Clinical trials : a practical approach / Stuart J. Pocock.</t>
        </is>
      </c>
      <c r="H211" t="inlineStr">
        <is>
          <t>No</t>
        </is>
      </c>
      <c r="I211" t="inlineStr">
        <is>
          <t>1</t>
        </is>
      </c>
      <c r="J211" t="inlineStr">
        <is>
          <t>No</t>
        </is>
      </c>
      <c r="K211" t="inlineStr">
        <is>
          <t>No</t>
        </is>
      </c>
      <c r="L211" t="inlineStr">
        <is>
          <t>0</t>
        </is>
      </c>
      <c r="M211" t="inlineStr">
        <is>
          <t>Pocock, Stuart J.</t>
        </is>
      </c>
      <c r="N211" t="inlineStr">
        <is>
          <t>Chichester [West Sussex] ; New York : Wiley, c1983.</t>
        </is>
      </c>
      <c r="O211" t="inlineStr">
        <is>
          <t>1983</t>
        </is>
      </c>
      <c r="Q211" t="inlineStr">
        <is>
          <t>eng</t>
        </is>
      </c>
      <c r="R211" t="inlineStr">
        <is>
          <t>enk</t>
        </is>
      </c>
      <c r="S211" t="inlineStr">
        <is>
          <t>A Wiley medical publication.</t>
        </is>
      </c>
      <c r="T211" t="inlineStr">
        <is>
          <t xml:space="preserve">W  </t>
        </is>
      </c>
      <c r="U211" t="n">
        <v>19</v>
      </c>
      <c r="V211" t="n">
        <v>19</v>
      </c>
      <c r="W211" t="inlineStr">
        <is>
          <t>2007-04-11</t>
        </is>
      </c>
      <c r="X211" t="inlineStr">
        <is>
          <t>2007-04-11</t>
        </is>
      </c>
      <c r="Y211" t="inlineStr">
        <is>
          <t>1987-10-01</t>
        </is>
      </c>
      <c r="Z211" t="inlineStr">
        <is>
          <t>1987-10-01</t>
        </is>
      </c>
      <c r="AA211" t="n">
        <v>413</v>
      </c>
      <c r="AB211" t="n">
        <v>242</v>
      </c>
      <c r="AC211" t="n">
        <v>633</v>
      </c>
      <c r="AD211" t="n">
        <v>2</v>
      </c>
      <c r="AE211" t="n">
        <v>6</v>
      </c>
      <c r="AF211" t="n">
        <v>4</v>
      </c>
      <c r="AG211" t="n">
        <v>23</v>
      </c>
      <c r="AH211" t="n">
        <v>1</v>
      </c>
      <c r="AI211" t="n">
        <v>7</v>
      </c>
      <c r="AJ211" t="n">
        <v>2</v>
      </c>
      <c r="AK211" t="n">
        <v>7</v>
      </c>
      <c r="AL211" t="n">
        <v>0</v>
      </c>
      <c r="AM211" t="n">
        <v>5</v>
      </c>
      <c r="AN211" t="n">
        <v>1</v>
      </c>
      <c r="AO211" t="n">
        <v>5</v>
      </c>
      <c r="AP211" t="n">
        <v>0</v>
      </c>
      <c r="AQ211" t="n">
        <v>1</v>
      </c>
      <c r="AR211" t="inlineStr">
        <is>
          <t>No</t>
        </is>
      </c>
      <c r="AS211" t="inlineStr">
        <is>
          <t>Yes</t>
        </is>
      </c>
      <c r="AT211">
        <f>HYPERLINK("http://catalog.hathitrust.org/Record/000245824","HathiTrust Record")</f>
        <v/>
      </c>
      <c r="AU211">
        <f>HYPERLINK("https://creighton-primo.hosted.exlibrisgroup.com/primo-explore/search?tab=default_tab&amp;search_scope=EVERYTHING&amp;vid=01CRU&amp;lang=en_US&amp;offset=0&amp;query=any,contains,991001174729702656","Catalog Record")</f>
        <v/>
      </c>
      <c r="AV211">
        <f>HYPERLINK("http://www.worldcat.org/oclc/9280593","WorldCat Record")</f>
        <v/>
      </c>
      <c r="AW211" t="inlineStr">
        <is>
          <t>807544126:eng</t>
        </is>
      </c>
      <c r="AX211" t="inlineStr">
        <is>
          <t>9280593</t>
        </is>
      </c>
      <c r="AY211" t="inlineStr">
        <is>
          <t>991001174729702656</t>
        </is>
      </c>
      <c r="AZ211" t="inlineStr">
        <is>
          <t>991001174729702656</t>
        </is>
      </c>
      <c r="BA211" t="inlineStr">
        <is>
          <t>2260839920002656</t>
        </is>
      </c>
      <c r="BB211" t="inlineStr">
        <is>
          <t>BOOK</t>
        </is>
      </c>
      <c r="BD211" t="inlineStr">
        <is>
          <t>9780471901556</t>
        </is>
      </c>
      <c r="BE211" t="inlineStr">
        <is>
          <t>30001000307779</t>
        </is>
      </c>
      <c r="BF211" t="inlineStr">
        <is>
          <t>893736292</t>
        </is>
      </c>
    </row>
    <row r="212">
      <c r="A212" t="inlineStr">
        <is>
          <t>No</t>
        </is>
      </c>
      <c r="B212" t="inlineStr">
        <is>
          <t>CUHSL</t>
        </is>
      </c>
      <c r="C212" t="inlineStr">
        <is>
          <t>SHELVES</t>
        </is>
      </c>
      <c r="D212" t="inlineStr">
        <is>
          <t>W 20.5 P853f 1993</t>
        </is>
      </c>
      <c r="E212" t="inlineStr">
        <is>
          <t>0                      W  0020500P  853f        1993</t>
        </is>
      </c>
      <c r="F212" t="inlineStr">
        <is>
          <t>Foundations of clinical research : applications to practice / Leslie Gross Portney, Mary P. Watkins.</t>
        </is>
      </c>
      <c r="H212" t="inlineStr">
        <is>
          <t>No</t>
        </is>
      </c>
      <c r="I212" t="inlineStr">
        <is>
          <t>1</t>
        </is>
      </c>
      <c r="J212" t="inlineStr">
        <is>
          <t>No</t>
        </is>
      </c>
      <c r="K212" t="inlineStr">
        <is>
          <t>Yes</t>
        </is>
      </c>
      <c r="L212" t="inlineStr">
        <is>
          <t>0</t>
        </is>
      </c>
      <c r="M212" t="inlineStr">
        <is>
          <t>Portney, Leslie Gross.</t>
        </is>
      </c>
      <c r="N212" t="inlineStr">
        <is>
          <t>Norwalk, Conn. : Appleton &amp; Lange, c1993</t>
        </is>
      </c>
      <c r="O212" t="inlineStr">
        <is>
          <t>1993</t>
        </is>
      </c>
      <c r="Q212" t="inlineStr">
        <is>
          <t>eng</t>
        </is>
      </c>
      <c r="R212" t="inlineStr">
        <is>
          <t>xxu</t>
        </is>
      </c>
      <c r="T212" t="inlineStr">
        <is>
          <t xml:space="preserve">W  </t>
        </is>
      </c>
      <c r="U212" t="n">
        <v>58</v>
      </c>
      <c r="V212" t="n">
        <v>58</v>
      </c>
      <c r="W212" t="inlineStr">
        <is>
          <t>2007-07-03</t>
        </is>
      </c>
      <c r="X212" t="inlineStr">
        <is>
          <t>2007-07-03</t>
        </is>
      </c>
      <c r="Y212" t="inlineStr">
        <is>
          <t>1993-08-09</t>
        </is>
      </c>
      <c r="Z212" t="inlineStr">
        <is>
          <t>1993-08-09</t>
        </is>
      </c>
      <c r="AA212" t="n">
        <v>173</v>
      </c>
      <c r="AB212" t="n">
        <v>120</v>
      </c>
      <c r="AC212" t="n">
        <v>595</v>
      </c>
      <c r="AD212" t="n">
        <v>1</v>
      </c>
      <c r="AE212" t="n">
        <v>4</v>
      </c>
      <c r="AF212" t="n">
        <v>3</v>
      </c>
      <c r="AG212" t="n">
        <v>27</v>
      </c>
      <c r="AH212" t="n">
        <v>1</v>
      </c>
      <c r="AI212" t="n">
        <v>13</v>
      </c>
      <c r="AJ212" t="n">
        <v>2</v>
      </c>
      <c r="AK212" t="n">
        <v>6</v>
      </c>
      <c r="AL212" t="n">
        <v>1</v>
      </c>
      <c r="AM212" t="n">
        <v>10</v>
      </c>
      <c r="AN212" t="n">
        <v>0</v>
      </c>
      <c r="AO212" t="n">
        <v>2</v>
      </c>
      <c r="AP212" t="n">
        <v>0</v>
      </c>
      <c r="AQ212" t="n">
        <v>0</v>
      </c>
      <c r="AR212" t="inlineStr">
        <is>
          <t>No</t>
        </is>
      </c>
      <c r="AS212" t="inlineStr">
        <is>
          <t>Yes</t>
        </is>
      </c>
      <c r="AT212">
        <f>HYPERLINK("http://catalog.hathitrust.org/Record/002604582","HathiTrust Record")</f>
        <v/>
      </c>
      <c r="AU212">
        <f>HYPERLINK("https://creighton-primo.hosted.exlibrisgroup.com/primo-explore/search?tab=default_tab&amp;search_scope=EVERYTHING&amp;vid=01CRU&amp;lang=en_US&amp;offset=0&amp;query=any,contains,991001427849702656","Catalog Record")</f>
        <v/>
      </c>
      <c r="AV212">
        <f>HYPERLINK("http://www.worldcat.org/oclc/26590023","WorldCat Record")</f>
        <v/>
      </c>
      <c r="AW212" t="inlineStr">
        <is>
          <t>16501563:eng</t>
        </is>
      </c>
      <c r="AX212" t="inlineStr">
        <is>
          <t>26590023</t>
        </is>
      </c>
      <c r="AY212" t="inlineStr">
        <is>
          <t>991001427849702656</t>
        </is>
      </c>
      <c r="AZ212" t="inlineStr">
        <is>
          <t>991001427849702656</t>
        </is>
      </c>
      <c r="BA212" t="inlineStr">
        <is>
          <t>2265167740002656</t>
        </is>
      </c>
      <c r="BB212" t="inlineStr">
        <is>
          <t>BOOK</t>
        </is>
      </c>
      <c r="BD212" t="inlineStr">
        <is>
          <t>9780838510650</t>
        </is>
      </c>
      <c r="BE212" t="inlineStr">
        <is>
          <t>30001002527283</t>
        </is>
      </c>
      <c r="BF212" t="inlineStr">
        <is>
          <t>893287414</t>
        </is>
      </c>
    </row>
    <row r="213">
      <c r="A213" t="inlineStr">
        <is>
          <t>No</t>
        </is>
      </c>
      <c r="B213" t="inlineStr">
        <is>
          <t>CUHSL</t>
        </is>
      </c>
      <c r="C213" t="inlineStr">
        <is>
          <t>SHELVES</t>
        </is>
      </c>
      <c r="D213" t="inlineStr">
        <is>
          <t>W 20.5 PR952 1978</t>
        </is>
      </c>
      <c r="E213" t="inlineStr">
        <is>
          <t>0                      W  0020500PR 952         1978</t>
        </is>
      </c>
      <c r="F213" t="inlineStr">
        <is>
          <t>Drug research, the FDA and the protection of human rights : a symposium / sponsored by Public Responsibility in Medicine and Research, co-sponsored by Boston University School of Medicine, held at the Harvard School of Public Health, June 17 and 18, 1978.</t>
        </is>
      </c>
      <c r="H213" t="inlineStr">
        <is>
          <t>No</t>
        </is>
      </c>
      <c r="I213" t="inlineStr">
        <is>
          <t>1</t>
        </is>
      </c>
      <c r="J213" t="inlineStr">
        <is>
          <t>No</t>
        </is>
      </c>
      <c r="K213" t="inlineStr">
        <is>
          <t>No</t>
        </is>
      </c>
      <c r="L213" t="inlineStr">
        <is>
          <t>0</t>
        </is>
      </c>
      <c r="N213" t="inlineStr">
        <is>
          <t>Boston, Mass. : PRIM&amp;R, 1979.</t>
        </is>
      </c>
      <c r="O213" t="inlineStr">
        <is>
          <t>1979</t>
        </is>
      </c>
      <c r="Q213" t="inlineStr">
        <is>
          <t>eng</t>
        </is>
      </c>
      <c r="R213" t="inlineStr">
        <is>
          <t>mau</t>
        </is>
      </c>
      <c r="T213" t="inlineStr">
        <is>
          <t xml:space="preserve">W  </t>
        </is>
      </c>
      <c r="U213" t="n">
        <v>3</v>
      </c>
      <c r="V213" t="n">
        <v>3</v>
      </c>
      <c r="W213" t="inlineStr">
        <is>
          <t>1989-12-01</t>
        </is>
      </c>
      <c r="X213" t="inlineStr">
        <is>
          <t>1989-12-01</t>
        </is>
      </c>
      <c r="Y213" t="inlineStr">
        <is>
          <t>1988-02-05</t>
        </is>
      </c>
      <c r="Z213" t="inlineStr">
        <is>
          <t>1988-02-05</t>
        </is>
      </c>
      <c r="AA213" t="n">
        <v>11</v>
      </c>
      <c r="AB213" t="n">
        <v>11</v>
      </c>
      <c r="AC213" t="n">
        <v>17</v>
      </c>
      <c r="AD213" t="n">
        <v>1</v>
      </c>
      <c r="AE213" t="n">
        <v>1</v>
      </c>
      <c r="AF213" t="n">
        <v>0</v>
      </c>
      <c r="AG213" t="n">
        <v>0</v>
      </c>
      <c r="AH213" t="n">
        <v>0</v>
      </c>
      <c r="AI213" t="n">
        <v>0</v>
      </c>
      <c r="AJ213" t="n">
        <v>0</v>
      </c>
      <c r="AK213" t="n">
        <v>0</v>
      </c>
      <c r="AL213" t="n">
        <v>0</v>
      </c>
      <c r="AM213" t="n">
        <v>0</v>
      </c>
      <c r="AN213" t="n">
        <v>0</v>
      </c>
      <c r="AO213" t="n">
        <v>0</v>
      </c>
      <c r="AP213" t="n">
        <v>0</v>
      </c>
      <c r="AQ213" t="n">
        <v>0</v>
      </c>
      <c r="AR213" t="inlineStr">
        <is>
          <t>No</t>
        </is>
      </c>
      <c r="AS213" t="inlineStr">
        <is>
          <t>Yes</t>
        </is>
      </c>
      <c r="AT213">
        <f>HYPERLINK("http://catalog.hathitrust.org/Record/010364149","HathiTrust Record")</f>
        <v/>
      </c>
      <c r="AU213">
        <f>HYPERLINK("https://creighton-primo.hosted.exlibrisgroup.com/primo-explore/search?tab=default_tab&amp;search_scope=EVERYTHING&amp;vid=01CRU&amp;lang=en_US&amp;offset=0&amp;query=any,contains,991001285859702656","Catalog Record")</f>
        <v/>
      </c>
      <c r="AV213">
        <f>HYPERLINK("http://www.worldcat.org/oclc/7642222","WorldCat Record")</f>
        <v/>
      </c>
      <c r="AW213" t="inlineStr">
        <is>
          <t>919272147:eng</t>
        </is>
      </c>
      <c r="AX213" t="inlineStr">
        <is>
          <t>7642222</t>
        </is>
      </c>
      <c r="AY213" t="inlineStr">
        <is>
          <t>991001285859702656</t>
        </is>
      </c>
      <c r="AZ213" t="inlineStr">
        <is>
          <t>991001285859702656</t>
        </is>
      </c>
      <c r="BA213" t="inlineStr">
        <is>
          <t>2265317150002656</t>
        </is>
      </c>
      <c r="BB213" t="inlineStr">
        <is>
          <t>BOOK</t>
        </is>
      </c>
      <c r="BE213" t="inlineStr">
        <is>
          <t>30001000387185</t>
        </is>
      </c>
      <c r="BF213" t="inlineStr">
        <is>
          <t>893149055</t>
        </is>
      </c>
    </row>
    <row r="214">
      <c r="A214" t="inlineStr">
        <is>
          <t>No</t>
        </is>
      </c>
      <c r="B214" t="inlineStr">
        <is>
          <t>CUHSL</t>
        </is>
      </c>
      <c r="C214" t="inlineStr">
        <is>
          <t>SHELVES</t>
        </is>
      </c>
      <c r="D214" t="inlineStr">
        <is>
          <t>W 20.5 PR952 1980o</t>
        </is>
      </c>
      <c r="E214" t="inlineStr">
        <is>
          <t>0                      W  0020500PR 952         1980o</t>
        </is>
      </c>
      <c r="F214" t="inlineStr">
        <is>
          <t>Risk assessment : its role in health and research : a symposium / sponsored by Public Responsibility in Medicine and Research, co-sponsored by Boston University School of Medicine, held at the Bston Park Plaza Hotel, Oct. 20 &amp; 21, 1980 ; edited by Grace Napier.</t>
        </is>
      </c>
      <c r="H214" t="inlineStr">
        <is>
          <t>No</t>
        </is>
      </c>
      <c r="I214" t="inlineStr">
        <is>
          <t>1</t>
        </is>
      </c>
      <c r="J214" t="inlineStr">
        <is>
          <t>No</t>
        </is>
      </c>
      <c r="K214" t="inlineStr">
        <is>
          <t>No</t>
        </is>
      </c>
      <c r="L214" t="inlineStr">
        <is>
          <t>0</t>
        </is>
      </c>
      <c r="N214" t="inlineStr">
        <is>
          <t>Boston, Mass. : PRIM&amp;R, c1981.</t>
        </is>
      </c>
      <c r="O214" t="inlineStr">
        <is>
          <t>1981</t>
        </is>
      </c>
      <c r="Q214" t="inlineStr">
        <is>
          <t>eng</t>
        </is>
      </c>
      <c r="R214" t="inlineStr">
        <is>
          <t>mau</t>
        </is>
      </c>
      <c r="S214" t="inlineStr">
        <is>
          <t>PRIM&amp;R subject's rights and freedom of inquiry</t>
        </is>
      </c>
      <c r="T214" t="inlineStr">
        <is>
          <t xml:space="preserve">W  </t>
        </is>
      </c>
      <c r="U214" t="n">
        <v>2</v>
      </c>
      <c r="V214" t="n">
        <v>2</v>
      </c>
      <c r="W214" t="inlineStr">
        <is>
          <t>2002-09-05</t>
        </is>
      </c>
      <c r="X214" t="inlineStr">
        <is>
          <t>2002-09-05</t>
        </is>
      </c>
      <c r="Y214" t="inlineStr">
        <is>
          <t>1988-02-05</t>
        </is>
      </c>
      <c r="Z214" t="inlineStr">
        <is>
          <t>1988-02-05</t>
        </is>
      </c>
      <c r="AA214" t="n">
        <v>15</v>
      </c>
      <c r="AB214" t="n">
        <v>15</v>
      </c>
      <c r="AC214" t="n">
        <v>15</v>
      </c>
      <c r="AD214" t="n">
        <v>1</v>
      </c>
      <c r="AE214" t="n">
        <v>1</v>
      </c>
      <c r="AF214" t="n">
        <v>0</v>
      </c>
      <c r="AG214" t="n">
        <v>0</v>
      </c>
      <c r="AH214" t="n">
        <v>0</v>
      </c>
      <c r="AI214" t="n">
        <v>0</v>
      </c>
      <c r="AJ214" t="n">
        <v>0</v>
      </c>
      <c r="AK214" t="n">
        <v>0</v>
      </c>
      <c r="AL214" t="n">
        <v>0</v>
      </c>
      <c r="AM214" t="n">
        <v>0</v>
      </c>
      <c r="AN214" t="n">
        <v>0</v>
      </c>
      <c r="AO214" t="n">
        <v>0</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HYPERLINK("https://creighton-primo.hosted.exlibrisgroup.com/primo-explore/search?tab=default_tab&amp;search_scope=EVERYTHING&amp;vid=01CRU&amp;lang=en_US&amp;offset=0&amp;query=any,contains,991001285939702656","Catalog Record")</f>
        <v/>
      </c>
      <c r="AV214">
        <f>HYPERLINK("http://www.worldcat.org/oclc/7642211","WorldCat Record")</f>
        <v/>
      </c>
      <c r="AW214" t="inlineStr">
        <is>
          <t>29108239:eng</t>
        </is>
      </c>
      <c r="AX214" t="inlineStr">
        <is>
          <t>7642211</t>
        </is>
      </c>
      <c r="AY214" t="inlineStr">
        <is>
          <t>991001285939702656</t>
        </is>
      </c>
      <c r="AZ214" t="inlineStr">
        <is>
          <t>991001285939702656</t>
        </is>
      </c>
      <c r="BA214" t="inlineStr">
        <is>
          <t>2265315980002656</t>
        </is>
      </c>
      <c r="BB214" t="inlineStr">
        <is>
          <t>BOOK</t>
        </is>
      </c>
      <c r="BE214" t="inlineStr">
        <is>
          <t>30001000387201</t>
        </is>
      </c>
      <c r="BF214" t="inlineStr">
        <is>
          <t>893451037</t>
        </is>
      </c>
    </row>
    <row r="215">
      <c r="A215" t="inlineStr">
        <is>
          <t>No</t>
        </is>
      </c>
      <c r="B215" t="inlineStr">
        <is>
          <t>CUHSL</t>
        </is>
      </c>
      <c r="C215" t="inlineStr">
        <is>
          <t>SHELVES</t>
        </is>
      </c>
      <c r="D215" t="inlineStr">
        <is>
          <t>W 20.5 PR952 1981m</t>
        </is>
      </c>
      <c r="E215" t="inlineStr">
        <is>
          <t>0                      W  0020500PR 952         1981m</t>
        </is>
      </c>
      <c r="F215" t="inlineStr">
        <is>
          <t>The New federal regulations, what they do and do not regulate : a symposium / sponsored by Public Responsibility in Medicine and Research, co-sponsored by Boston University School of Medicine, held at the Harvard School of Public Health, March 26 and 27, 1981 ; edited by Melissa Apperson, Grace Napier, Joan Rachlin.</t>
        </is>
      </c>
      <c r="H215" t="inlineStr">
        <is>
          <t>No</t>
        </is>
      </c>
      <c r="I215" t="inlineStr">
        <is>
          <t>1</t>
        </is>
      </c>
      <c r="J215" t="inlineStr">
        <is>
          <t>No</t>
        </is>
      </c>
      <c r="K215" t="inlineStr">
        <is>
          <t>No</t>
        </is>
      </c>
      <c r="L215" t="inlineStr">
        <is>
          <t>0</t>
        </is>
      </c>
      <c r="N215" t="inlineStr">
        <is>
          <t>Boston, MA : PRIM&amp;G, c1981.</t>
        </is>
      </c>
      <c r="O215" t="inlineStr">
        <is>
          <t>1981</t>
        </is>
      </c>
      <c r="Q215" t="inlineStr">
        <is>
          <t>eng</t>
        </is>
      </c>
      <c r="R215" t="inlineStr">
        <is>
          <t>mau</t>
        </is>
      </c>
      <c r="S215" t="inlineStr">
        <is>
          <t>PRIM&amp;R subject's rights and freedom of inquiry</t>
        </is>
      </c>
      <c r="T215" t="inlineStr">
        <is>
          <t xml:space="preserve">W  </t>
        </is>
      </c>
      <c r="U215" t="n">
        <v>2</v>
      </c>
      <c r="V215" t="n">
        <v>2</v>
      </c>
      <c r="W215" t="inlineStr">
        <is>
          <t>1989-12-01</t>
        </is>
      </c>
      <c r="X215" t="inlineStr">
        <is>
          <t>1989-12-01</t>
        </is>
      </c>
      <c r="Y215" t="inlineStr">
        <is>
          <t>1988-02-05</t>
        </is>
      </c>
      <c r="Z215" t="inlineStr">
        <is>
          <t>1988-02-05</t>
        </is>
      </c>
      <c r="AA215" t="n">
        <v>11</v>
      </c>
      <c r="AB215" t="n">
        <v>11</v>
      </c>
      <c r="AC215" t="n">
        <v>14</v>
      </c>
      <c r="AD215" t="n">
        <v>1</v>
      </c>
      <c r="AE215" t="n">
        <v>1</v>
      </c>
      <c r="AF215" t="n">
        <v>0</v>
      </c>
      <c r="AG215" t="n">
        <v>0</v>
      </c>
      <c r="AH215" t="n">
        <v>0</v>
      </c>
      <c r="AI215" t="n">
        <v>0</v>
      </c>
      <c r="AJ215" t="n">
        <v>0</v>
      </c>
      <c r="AK215" t="n">
        <v>0</v>
      </c>
      <c r="AL215" t="n">
        <v>0</v>
      </c>
      <c r="AM215" t="n">
        <v>0</v>
      </c>
      <c r="AN215" t="n">
        <v>0</v>
      </c>
      <c r="AO215" t="n">
        <v>0</v>
      </c>
      <c r="AP215" t="n">
        <v>0</v>
      </c>
      <c r="AQ215" t="n">
        <v>0</v>
      </c>
      <c r="AR215" t="inlineStr">
        <is>
          <t>No</t>
        </is>
      </c>
      <c r="AS215" t="inlineStr">
        <is>
          <t>Yes</t>
        </is>
      </c>
      <c r="AT215">
        <f>HYPERLINK("http://catalog.hathitrust.org/Record/010365607","HathiTrust Record")</f>
        <v/>
      </c>
      <c r="AU215">
        <f>HYPERLINK("https://creighton-primo.hosted.exlibrisgroup.com/primo-explore/search?tab=default_tab&amp;search_scope=EVERYTHING&amp;vid=01CRU&amp;lang=en_US&amp;offset=0&amp;query=any,contains,991001286129702656","Catalog Record")</f>
        <v/>
      </c>
      <c r="AV215">
        <f>HYPERLINK("http://www.worldcat.org/oclc/8740118","WorldCat Record")</f>
        <v/>
      </c>
      <c r="AW215" t="inlineStr">
        <is>
          <t>43450132:eng</t>
        </is>
      </c>
      <c r="AX215" t="inlineStr">
        <is>
          <t>8740118</t>
        </is>
      </c>
      <c r="AY215" t="inlineStr">
        <is>
          <t>991001286129702656</t>
        </is>
      </c>
      <c r="AZ215" t="inlineStr">
        <is>
          <t>991001286129702656</t>
        </is>
      </c>
      <c r="BA215" t="inlineStr">
        <is>
          <t>2267731380002656</t>
        </is>
      </c>
      <c r="BB215" t="inlineStr">
        <is>
          <t>BOOK</t>
        </is>
      </c>
      <c r="BE215" t="inlineStr">
        <is>
          <t>30001000387243</t>
        </is>
      </c>
      <c r="BF215" t="inlineStr">
        <is>
          <t>893121360</t>
        </is>
      </c>
    </row>
    <row r="216">
      <c r="A216" t="inlineStr">
        <is>
          <t>No</t>
        </is>
      </c>
      <c r="B216" t="inlineStr">
        <is>
          <t>CUHSL</t>
        </is>
      </c>
      <c r="C216" t="inlineStr">
        <is>
          <t>SHELVES</t>
        </is>
      </c>
      <c r="D216" t="inlineStr">
        <is>
          <t>W 20.5 S454s 1985</t>
        </is>
      </c>
      <c r="E216" t="inlineStr">
        <is>
          <t>0                      W  0020500S  454s        1985</t>
        </is>
      </c>
      <c r="F216" t="inlineStr">
        <is>
          <t>Stabilizing the funding of NIH and ADAMHA research project grants : a background paper / by Richard L. Seggel for the Board on Health Sciences Policy, Institute of Medicine.</t>
        </is>
      </c>
      <c r="H216" t="inlineStr">
        <is>
          <t>No</t>
        </is>
      </c>
      <c r="I216" t="inlineStr">
        <is>
          <t>1</t>
        </is>
      </c>
      <c r="J216" t="inlineStr">
        <is>
          <t>No</t>
        </is>
      </c>
      <c r="K216" t="inlineStr">
        <is>
          <t>No</t>
        </is>
      </c>
      <c r="L216" t="inlineStr">
        <is>
          <t>0</t>
        </is>
      </c>
      <c r="M216" t="inlineStr">
        <is>
          <t>Seggel, Richard L.</t>
        </is>
      </c>
      <c r="N216" t="inlineStr">
        <is>
          <t>Washington, D.C. : National Academy Press, 1985.</t>
        </is>
      </c>
      <c r="O216" t="inlineStr">
        <is>
          <t>1985</t>
        </is>
      </c>
      <c r="Q216" t="inlineStr">
        <is>
          <t>eng</t>
        </is>
      </c>
      <c r="R216" t="inlineStr">
        <is>
          <t>dcu</t>
        </is>
      </c>
      <c r="T216" t="inlineStr">
        <is>
          <t xml:space="preserve">W  </t>
        </is>
      </c>
      <c r="U216" t="n">
        <v>1</v>
      </c>
      <c r="V216" t="n">
        <v>1</v>
      </c>
      <c r="W216" t="inlineStr">
        <is>
          <t>1996-02-22</t>
        </is>
      </c>
      <c r="X216" t="inlineStr">
        <is>
          <t>1996-02-22</t>
        </is>
      </c>
      <c r="Y216" t="inlineStr">
        <is>
          <t>1987-10-01</t>
        </is>
      </c>
      <c r="Z216" t="inlineStr">
        <is>
          <t>1987-10-01</t>
        </is>
      </c>
      <c r="AA216" t="n">
        <v>16</v>
      </c>
      <c r="AB216" t="n">
        <v>16</v>
      </c>
      <c r="AC216" t="n">
        <v>855</v>
      </c>
      <c r="AD216" t="n">
        <v>1</v>
      </c>
      <c r="AE216" t="n">
        <v>14</v>
      </c>
      <c r="AF216" t="n">
        <v>0</v>
      </c>
      <c r="AG216" t="n">
        <v>32</v>
      </c>
      <c r="AH216" t="n">
        <v>0</v>
      </c>
      <c r="AI216" t="n">
        <v>9</v>
      </c>
      <c r="AJ216" t="n">
        <v>0</v>
      </c>
      <c r="AK216" t="n">
        <v>8</v>
      </c>
      <c r="AL216" t="n">
        <v>0</v>
      </c>
      <c r="AM216" t="n">
        <v>7</v>
      </c>
      <c r="AN216" t="n">
        <v>0</v>
      </c>
      <c r="AO216" t="n">
        <v>12</v>
      </c>
      <c r="AP216" t="n">
        <v>0</v>
      </c>
      <c r="AQ216" t="n">
        <v>1</v>
      </c>
      <c r="AR216" t="inlineStr">
        <is>
          <t>No</t>
        </is>
      </c>
      <c r="AS216" t="inlineStr">
        <is>
          <t>No</t>
        </is>
      </c>
      <c r="AU216">
        <f>HYPERLINK("https://creighton-primo.hosted.exlibrisgroup.com/primo-explore/search?tab=default_tab&amp;search_scope=EVERYTHING&amp;vid=01CRU&amp;lang=en_US&amp;offset=0&amp;query=any,contains,991001175139702656","Catalog Record")</f>
        <v/>
      </c>
      <c r="AV216">
        <f>HYPERLINK("http://www.worldcat.org/oclc/15055001","WorldCat Record")</f>
        <v/>
      </c>
      <c r="AW216" t="inlineStr">
        <is>
          <t>8232731:eng</t>
        </is>
      </c>
      <c r="AX216" t="inlineStr">
        <is>
          <t>15055001</t>
        </is>
      </c>
      <c r="AY216" t="inlineStr">
        <is>
          <t>991001175139702656</t>
        </is>
      </c>
      <c r="AZ216" t="inlineStr">
        <is>
          <t>991001175139702656</t>
        </is>
      </c>
      <c r="BA216" t="inlineStr">
        <is>
          <t>2261612000002656</t>
        </is>
      </c>
      <c r="BB216" t="inlineStr">
        <is>
          <t>BOOK</t>
        </is>
      </c>
      <c r="BE216" t="inlineStr">
        <is>
          <t>30001000307845</t>
        </is>
      </c>
      <c r="BF216" t="inlineStr">
        <is>
          <t>893465249</t>
        </is>
      </c>
    </row>
    <row r="217">
      <c r="A217" t="inlineStr">
        <is>
          <t>No</t>
        </is>
      </c>
      <c r="B217" t="inlineStr">
        <is>
          <t>CUHSL</t>
        </is>
      </c>
      <c r="C217" t="inlineStr">
        <is>
          <t>SHELVES</t>
        </is>
      </c>
      <c r="D217" t="inlineStr">
        <is>
          <t>W 20.5 S5872h 1985</t>
        </is>
      </c>
      <c r="E217" t="inlineStr">
        <is>
          <t>0                      W  0020500S  5872h       1985</t>
        </is>
      </c>
      <c r="F217" t="inlineStr">
        <is>
          <t>Human experimentation : a guided step into the unknown / William A. Silverman.</t>
        </is>
      </c>
      <c r="H217" t="inlineStr">
        <is>
          <t>No</t>
        </is>
      </c>
      <c r="I217" t="inlineStr">
        <is>
          <t>1</t>
        </is>
      </c>
      <c r="J217" t="inlineStr">
        <is>
          <t>No</t>
        </is>
      </c>
      <c r="K217" t="inlineStr">
        <is>
          <t>Yes</t>
        </is>
      </c>
      <c r="L217" t="inlineStr">
        <is>
          <t>0</t>
        </is>
      </c>
      <c r="M217" t="inlineStr">
        <is>
          <t>Silverman, William A.</t>
        </is>
      </c>
      <c r="N217" t="inlineStr">
        <is>
          <t>Oxford ; New York : Oxford University Press, c1985.</t>
        </is>
      </c>
      <c r="O217" t="inlineStr">
        <is>
          <t>1985</t>
        </is>
      </c>
      <c r="Q217" t="inlineStr">
        <is>
          <t>eng</t>
        </is>
      </c>
      <c r="R217" t="inlineStr">
        <is>
          <t>enk</t>
        </is>
      </c>
      <c r="S217" t="inlineStr">
        <is>
          <t>Oxford medical publications</t>
        </is>
      </c>
      <c r="T217" t="inlineStr">
        <is>
          <t xml:space="preserve">W  </t>
        </is>
      </c>
      <c r="U217" t="n">
        <v>1</v>
      </c>
      <c r="V217" t="n">
        <v>1</v>
      </c>
      <c r="W217" t="inlineStr">
        <is>
          <t>1988-03-14</t>
        </is>
      </c>
      <c r="X217" t="inlineStr">
        <is>
          <t>1988-03-14</t>
        </is>
      </c>
      <c r="Y217" t="inlineStr">
        <is>
          <t>1987-10-01</t>
        </is>
      </c>
      <c r="Z217" t="inlineStr">
        <is>
          <t>1987-10-01</t>
        </is>
      </c>
      <c r="AA217" t="n">
        <v>406</v>
      </c>
      <c r="AB217" t="n">
        <v>333</v>
      </c>
      <c r="AC217" t="n">
        <v>378</v>
      </c>
      <c r="AD217" t="n">
        <v>1</v>
      </c>
      <c r="AE217" t="n">
        <v>2</v>
      </c>
      <c r="AF217" t="n">
        <v>16</v>
      </c>
      <c r="AG217" t="n">
        <v>18</v>
      </c>
      <c r="AH217" t="n">
        <v>6</v>
      </c>
      <c r="AI217" t="n">
        <v>7</v>
      </c>
      <c r="AJ217" t="n">
        <v>3</v>
      </c>
      <c r="AK217" t="n">
        <v>3</v>
      </c>
      <c r="AL217" t="n">
        <v>9</v>
      </c>
      <c r="AM217" t="n">
        <v>9</v>
      </c>
      <c r="AN217" t="n">
        <v>0</v>
      </c>
      <c r="AO217" t="n">
        <v>0</v>
      </c>
      <c r="AP217" t="n">
        <v>3</v>
      </c>
      <c r="AQ217" t="n">
        <v>4</v>
      </c>
      <c r="AR217" t="inlineStr">
        <is>
          <t>No</t>
        </is>
      </c>
      <c r="AS217" t="inlineStr">
        <is>
          <t>Yes</t>
        </is>
      </c>
      <c r="AT217">
        <f>HYPERLINK("http://catalog.hathitrust.org/Record/000375448","HathiTrust Record")</f>
        <v/>
      </c>
      <c r="AU217">
        <f>HYPERLINK("https://creighton-primo.hosted.exlibrisgroup.com/primo-explore/search?tab=default_tab&amp;search_scope=EVERYTHING&amp;vid=01CRU&amp;lang=en_US&amp;offset=0&amp;query=any,contains,991001175429702656","Catalog Record")</f>
        <v/>
      </c>
      <c r="AV217">
        <f>HYPERLINK("http://www.worldcat.org/oclc/11519500","WorldCat Record")</f>
        <v/>
      </c>
      <c r="AW217" t="inlineStr">
        <is>
          <t>806942654:eng</t>
        </is>
      </c>
      <c r="AX217" t="inlineStr">
        <is>
          <t>11519500</t>
        </is>
      </c>
      <c r="AY217" t="inlineStr">
        <is>
          <t>991001175429702656</t>
        </is>
      </c>
      <c r="AZ217" t="inlineStr">
        <is>
          <t>991001175429702656</t>
        </is>
      </c>
      <c r="BA217" t="inlineStr">
        <is>
          <t>2268587010002656</t>
        </is>
      </c>
      <c r="BB217" t="inlineStr">
        <is>
          <t>BOOK</t>
        </is>
      </c>
      <c r="BD217" t="inlineStr">
        <is>
          <t>9780192614995</t>
        </is>
      </c>
      <c r="BE217" t="inlineStr">
        <is>
          <t>30001000307894</t>
        </is>
      </c>
      <c r="BF217" t="inlineStr">
        <is>
          <t>893638092</t>
        </is>
      </c>
    </row>
    <row r="218">
      <c r="A218" t="inlineStr">
        <is>
          <t>No</t>
        </is>
      </c>
      <c r="B218" t="inlineStr">
        <is>
          <t>CUHSL</t>
        </is>
      </c>
      <c r="C218" t="inlineStr">
        <is>
          <t>SHELVES</t>
        </is>
      </c>
      <c r="D218" t="inlineStr">
        <is>
          <t>W 20.5 S756g 1986</t>
        </is>
      </c>
      <c r="E218" t="inlineStr">
        <is>
          <t>0                      W  0020500S  756g        1986</t>
        </is>
      </c>
      <c r="F218" t="inlineStr">
        <is>
          <t>Guide to clinical interpretation of data / Bert Spilker.</t>
        </is>
      </c>
      <c r="H218" t="inlineStr">
        <is>
          <t>No</t>
        </is>
      </c>
      <c r="I218" t="inlineStr">
        <is>
          <t>1</t>
        </is>
      </c>
      <c r="J218" t="inlineStr">
        <is>
          <t>No</t>
        </is>
      </c>
      <c r="K218" t="inlineStr">
        <is>
          <t>No</t>
        </is>
      </c>
      <c r="L218" t="inlineStr">
        <is>
          <t>0</t>
        </is>
      </c>
      <c r="M218" t="inlineStr">
        <is>
          <t>Spilker, Bert.</t>
        </is>
      </c>
      <c r="N218" t="inlineStr">
        <is>
          <t>New York, N.Y. : Raven Press, c1986.</t>
        </is>
      </c>
      <c r="O218" t="inlineStr">
        <is>
          <t>1986</t>
        </is>
      </c>
      <c r="Q218" t="inlineStr">
        <is>
          <t>eng</t>
        </is>
      </c>
      <c r="R218" t="inlineStr">
        <is>
          <t>xxu</t>
        </is>
      </c>
      <c r="T218" t="inlineStr">
        <is>
          <t xml:space="preserve">W  </t>
        </is>
      </c>
      <c r="U218" t="n">
        <v>15</v>
      </c>
      <c r="V218" t="n">
        <v>15</v>
      </c>
      <c r="W218" t="inlineStr">
        <is>
          <t>1997-01-15</t>
        </is>
      </c>
      <c r="X218" t="inlineStr">
        <is>
          <t>1997-01-15</t>
        </is>
      </c>
      <c r="Y218" t="inlineStr">
        <is>
          <t>1987-10-01</t>
        </is>
      </c>
      <c r="Z218" t="inlineStr">
        <is>
          <t>1987-10-01</t>
        </is>
      </c>
      <c r="AA218" t="n">
        <v>240</v>
      </c>
      <c r="AB218" t="n">
        <v>169</v>
      </c>
      <c r="AC218" t="n">
        <v>171</v>
      </c>
      <c r="AD218" t="n">
        <v>1</v>
      </c>
      <c r="AE218" t="n">
        <v>1</v>
      </c>
      <c r="AF218" t="n">
        <v>4</v>
      </c>
      <c r="AG218" t="n">
        <v>4</v>
      </c>
      <c r="AH218" t="n">
        <v>1</v>
      </c>
      <c r="AI218" t="n">
        <v>1</v>
      </c>
      <c r="AJ218" t="n">
        <v>2</v>
      </c>
      <c r="AK218" t="n">
        <v>2</v>
      </c>
      <c r="AL218" t="n">
        <v>2</v>
      </c>
      <c r="AM218" t="n">
        <v>2</v>
      </c>
      <c r="AN218" t="n">
        <v>0</v>
      </c>
      <c r="AO218" t="n">
        <v>0</v>
      </c>
      <c r="AP218" t="n">
        <v>0</v>
      </c>
      <c r="AQ218" t="n">
        <v>0</v>
      </c>
      <c r="AR218" t="inlineStr">
        <is>
          <t>No</t>
        </is>
      </c>
      <c r="AS218" t="inlineStr">
        <is>
          <t>Yes</t>
        </is>
      </c>
      <c r="AT218">
        <f>HYPERLINK("http://catalog.hathitrust.org/Record/000538329","HathiTrust Record")</f>
        <v/>
      </c>
      <c r="AU218">
        <f>HYPERLINK("https://creighton-primo.hosted.exlibrisgroup.com/primo-explore/search?tab=default_tab&amp;search_scope=EVERYTHING&amp;vid=01CRU&amp;lang=en_US&amp;offset=0&amp;query=any,contains,991001175179702656","Catalog Record")</f>
        <v/>
      </c>
      <c r="AV218">
        <f>HYPERLINK("http://www.worldcat.org/oclc/13822198","WorldCat Record")</f>
        <v/>
      </c>
      <c r="AW218" t="inlineStr">
        <is>
          <t>7311890:eng</t>
        </is>
      </c>
      <c r="AX218" t="inlineStr">
        <is>
          <t>13822198</t>
        </is>
      </c>
      <c r="AY218" t="inlineStr">
        <is>
          <t>991001175179702656</t>
        </is>
      </c>
      <c r="AZ218" t="inlineStr">
        <is>
          <t>991001175179702656</t>
        </is>
      </c>
      <c r="BA218" t="inlineStr">
        <is>
          <t>2270114060002656</t>
        </is>
      </c>
      <c r="BB218" t="inlineStr">
        <is>
          <t>BOOK</t>
        </is>
      </c>
      <c r="BD218" t="inlineStr">
        <is>
          <t>9780881672077</t>
        </is>
      </c>
      <c r="BE218" t="inlineStr">
        <is>
          <t>30001000307852</t>
        </is>
      </c>
      <c r="BF218" t="inlineStr">
        <is>
          <t>893834594</t>
        </is>
      </c>
    </row>
    <row r="219">
      <c r="A219" t="inlineStr">
        <is>
          <t>No</t>
        </is>
      </c>
      <c r="B219" t="inlineStr">
        <is>
          <t>CUHSL</t>
        </is>
      </c>
      <c r="C219" t="inlineStr">
        <is>
          <t>SHELVES</t>
        </is>
      </c>
      <c r="D219" t="inlineStr">
        <is>
          <t>W 20.5 S819a 1989</t>
        </is>
      </c>
      <c r="E219" t="inlineStr">
        <is>
          <t>0                      W  0020500S  819a        1989</t>
        </is>
      </c>
      <c r="F219" t="inlineStr">
        <is>
          <t>Anatomy of clinical research : an introduction to scientific inquiry in medicine, rehabilitation and related health professions / Franklin Stein.</t>
        </is>
      </c>
      <c r="H219" t="inlineStr">
        <is>
          <t>No</t>
        </is>
      </c>
      <c r="I219" t="inlineStr">
        <is>
          <t>1</t>
        </is>
      </c>
      <c r="J219" t="inlineStr">
        <is>
          <t>No</t>
        </is>
      </c>
      <c r="K219" t="inlineStr">
        <is>
          <t>No</t>
        </is>
      </c>
      <c r="L219" t="inlineStr">
        <is>
          <t>0</t>
        </is>
      </c>
      <c r="M219" t="inlineStr">
        <is>
          <t>Stein, Franklin.</t>
        </is>
      </c>
      <c r="N219" t="inlineStr">
        <is>
          <t>Thorofare, N.J. : Slack, c1989.</t>
        </is>
      </c>
      <c r="O219" t="inlineStr">
        <is>
          <t>1989</t>
        </is>
      </c>
      <c r="P219" t="inlineStr">
        <is>
          <t>[Rev. ed.]</t>
        </is>
      </c>
      <c r="Q219" t="inlineStr">
        <is>
          <t>eng</t>
        </is>
      </c>
      <c r="R219" t="inlineStr">
        <is>
          <t>nju</t>
        </is>
      </c>
      <c r="S219" t="inlineStr">
        <is>
          <t>Slack health professions</t>
        </is>
      </c>
      <c r="T219" t="inlineStr">
        <is>
          <t xml:space="preserve">W  </t>
        </is>
      </c>
      <c r="U219" t="n">
        <v>16</v>
      </c>
      <c r="V219" t="n">
        <v>16</v>
      </c>
      <c r="W219" t="inlineStr">
        <is>
          <t>2002-09-13</t>
        </is>
      </c>
      <c r="X219" t="inlineStr">
        <is>
          <t>2002-09-13</t>
        </is>
      </c>
      <c r="Y219" t="inlineStr">
        <is>
          <t>1989-11-20</t>
        </is>
      </c>
      <c r="Z219" t="inlineStr">
        <is>
          <t>1989-11-20</t>
        </is>
      </c>
      <c r="AA219" t="n">
        <v>113</v>
      </c>
      <c r="AB219" t="n">
        <v>87</v>
      </c>
      <c r="AC219" t="n">
        <v>88</v>
      </c>
      <c r="AD219" t="n">
        <v>1</v>
      </c>
      <c r="AE219" t="n">
        <v>1</v>
      </c>
      <c r="AF219" t="n">
        <v>3</v>
      </c>
      <c r="AG219" t="n">
        <v>3</v>
      </c>
      <c r="AH219" t="n">
        <v>1</v>
      </c>
      <c r="AI219" t="n">
        <v>1</v>
      </c>
      <c r="AJ219" t="n">
        <v>0</v>
      </c>
      <c r="AK219" t="n">
        <v>0</v>
      </c>
      <c r="AL219" t="n">
        <v>2</v>
      </c>
      <c r="AM219" t="n">
        <v>2</v>
      </c>
      <c r="AN219" t="n">
        <v>0</v>
      </c>
      <c r="AO219" t="n">
        <v>0</v>
      </c>
      <c r="AP219" t="n">
        <v>0</v>
      </c>
      <c r="AQ219" t="n">
        <v>0</v>
      </c>
      <c r="AR219" t="inlineStr">
        <is>
          <t>No</t>
        </is>
      </c>
      <c r="AS219" t="inlineStr">
        <is>
          <t>No</t>
        </is>
      </c>
      <c r="AU219">
        <f>HYPERLINK("https://creighton-primo.hosted.exlibrisgroup.com/primo-explore/search?tab=default_tab&amp;search_scope=EVERYTHING&amp;vid=01CRU&amp;lang=en_US&amp;offset=0&amp;query=any,contains,991001364089702656","Catalog Record")</f>
        <v/>
      </c>
      <c r="AV219">
        <f>HYPERLINK("http://www.worldcat.org/oclc/21199179","WorldCat Record")</f>
        <v/>
      </c>
      <c r="AW219" t="inlineStr">
        <is>
          <t>373554739:eng</t>
        </is>
      </c>
      <c r="AX219" t="inlineStr">
        <is>
          <t>21199179</t>
        </is>
      </c>
      <c r="AY219" t="inlineStr">
        <is>
          <t>991001364089702656</t>
        </is>
      </c>
      <c r="AZ219" t="inlineStr">
        <is>
          <t>991001364089702656</t>
        </is>
      </c>
      <c r="BA219" t="inlineStr">
        <is>
          <t>2260245660002656</t>
        </is>
      </c>
      <c r="BB219" t="inlineStr">
        <is>
          <t>BOOK</t>
        </is>
      </c>
      <c r="BD219" t="inlineStr">
        <is>
          <t>9781556420580</t>
        </is>
      </c>
      <c r="BE219" t="inlineStr">
        <is>
          <t>30001001797184</t>
        </is>
      </c>
      <c r="BF219" t="inlineStr">
        <is>
          <t>893268403</t>
        </is>
      </c>
    </row>
    <row r="220">
      <c r="A220" t="inlineStr">
        <is>
          <t>No</t>
        </is>
      </c>
      <c r="B220" t="inlineStr">
        <is>
          <t>CUHSL</t>
        </is>
      </c>
      <c r="C220" t="inlineStr">
        <is>
          <t>SHELVES</t>
        </is>
      </c>
      <c r="D220" t="inlineStr">
        <is>
          <t>W 20.5 S995 1998</t>
        </is>
      </c>
      <c r="E220" t="inlineStr">
        <is>
          <t>0                      W  0020500S  995         1998</t>
        </is>
      </c>
      <c r="F220" t="inlineStr">
        <is>
          <t>Systematic reviews : synthesis of best evidence for health care decisions / edited by Cynthia Mulrow, Deborah Cook.</t>
        </is>
      </c>
      <c r="H220" t="inlineStr">
        <is>
          <t>No</t>
        </is>
      </c>
      <c r="I220" t="inlineStr">
        <is>
          <t>1</t>
        </is>
      </c>
      <c r="J220" t="inlineStr">
        <is>
          <t>No</t>
        </is>
      </c>
      <c r="K220" t="inlineStr">
        <is>
          <t>No</t>
        </is>
      </c>
      <c r="L220" t="inlineStr">
        <is>
          <t>0</t>
        </is>
      </c>
      <c r="N220" t="inlineStr">
        <is>
          <t>Philadelphia, Pa. : American College of Physicians, c1998.</t>
        </is>
      </c>
      <c r="O220" t="inlineStr">
        <is>
          <t>1998</t>
        </is>
      </c>
      <c r="Q220" t="inlineStr">
        <is>
          <t>eng</t>
        </is>
      </c>
      <c r="R220" t="inlineStr">
        <is>
          <t>pau</t>
        </is>
      </c>
      <c r="T220" t="inlineStr">
        <is>
          <t xml:space="preserve">W  </t>
        </is>
      </c>
      <c r="U220" t="n">
        <v>5</v>
      </c>
      <c r="V220" t="n">
        <v>5</v>
      </c>
      <c r="W220" t="inlineStr">
        <is>
          <t>2004-12-04</t>
        </is>
      </c>
      <c r="X220" t="inlineStr">
        <is>
          <t>2004-12-04</t>
        </is>
      </c>
      <c r="Y220" t="inlineStr">
        <is>
          <t>1998-11-17</t>
        </is>
      </c>
      <c r="Z220" t="inlineStr">
        <is>
          <t>1998-11-17</t>
        </is>
      </c>
      <c r="AA220" t="n">
        <v>235</v>
      </c>
      <c r="AB220" t="n">
        <v>159</v>
      </c>
      <c r="AC220" t="n">
        <v>161</v>
      </c>
      <c r="AD220" t="n">
        <v>1</v>
      </c>
      <c r="AE220" t="n">
        <v>1</v>
      </c>
      <c r="AF220" t="n">
        <v>7</v>
      </c>
      <c r="AG220" t="n">
        <v>7</v>
      </c>
      <c r="AH220" t="n">
        <v>1</v>
      </c>
      <c r="AI220" t="n">
        <v>1</v>
      </c>
      <c r="AJ220" t="n">
        <v>2</v>
      </c>
      <c r="AK220" t="n">
        <v>2</v>
      </c>
      <c r="AL220" t="n">
        <v>4</v>
      </c>
      <c r="AM220" t="n">
        <v>4</v>
      </c>
      <c r="AN220" t="n">
        <v>0</v>
      </c>
      <c r="AO220" t="n">
        <v>0</v>
      </c>
      <c r="AP220" t="n">
        <v>0</v>
      </c>
      <c r="AQ220" t="n">
        <v>0</v>
      </c>
      <c r="AR220" t="inlineStr">
        <is>
          <t>No</t>
        </is>
      </c>
      <c r="AS220" t="inlineStr">
        <is>
          <t>Yes</t>
        </is>
      </c>
      <c r="AT220">
        <f>HYPERLINK("http://catalog.hathitrust.org/Record/003975670","HathiTrust Record")</f>
        <v/>
      </c>
      <c r="AU220">
        <f>HYPERLINK("https://creighton-primo.hosted.exlibrisgroup.com/primo-explore/search?tab=default_tab&amp;search_scope=EVERYTHING&amp;vid=01CRU&amp;lang=en_US&amp;offset=0&amp;query=any,contains,991000690889702656","Catalog Record")</f>
        <v/>
      </c>
      <c r="AV220">
        <f>HYPERLINK("http://www.worldcat.org/oclc/37616759","WorldCat Record")</f>
        <v/>
      </c>
      <c r="AW220" t="inlineStr">
        <is>
          <t>364713837:eng</t>
        </is>
      </c>
      <c r="AX220" t="inlineStr">
        <is>
          <t>37616759</t>
        </is>
      </c>
      <c r="AY220" t="inlineStr">
        <is>
          <t>991000690889702656</t>
        </is>
      </c>
      <c r="AZ220" t="inlineStr">
        <is>
          <t>991000690889702656</t>
        </is>
      </c>
      <c r="BA220" t="inlineStr">
        <is>
          <t>2268776330002656</t>
        </is>
      </c>
      <c r="BB220" t="inlineStr">
        <is>
          <t>BOOK</t>
        </is>
      </c>
      <c r="BD220" t="inlineStr">
        <is>
          <t>9780943126661</t>
        </is>
      </c>
      <c r="BE220" t="inlineStr">
        <is>
          <t>30001004036440</t>
        </is>
      </c>
      <c r="BF220" t="inlineStr">
        <is>
          <t>893450095</t>
        </is>
      </c>
    </row>
    <row r="221">
      <c r="A221" t="inlineStr">
        <is>
          <t>No</t>
        </is>
      </c>
      <c r="B221" t="inlineStr">
        <is>
          <t>CUHSL</t>
        </is>
      </c>
      <c r="C221" t="inlineStr">
        <is>
          <t>SHELVES</t>
        </is>
      </c>
      <c r="D221" t="inlineStr">
        <is>
          <t>W 20.5 T671 1992</t>
        </is>
      </c>
      <c r="E221" t="inlineStr">
        <is>
          <t>0                      W  0020500T  671         1992</t>
        </is>
      </c>
      <c r="F221" t="inlineStr">
        <is>
          <t>Tools for primary care research / edited by Moira Stewart ... [et al.].</t>
        </is>
      </c>
      <c r="H221" t="inlineStr">
        <is>
          <t>No</t>
        </is>
      </c>
      <c r="I221" t="inlineStr">
        <is>
          <t>1</t>
        </is>
      </c>
      <c r="J221" t="inlineStr">
        <is>
          <t>No</t>
        </is>
      </c>
      <c r="K221" t="inlineStr">
        <is>
          <t>No</t>
        </is>
      </c>
      <c r="L221" t="inlineStr">
        <is>
          <t>0</t>
        </is>
      </c>
      <c r="N221" t="inlineStr">
        <is>
          <t>Newbury Park, Calif. : Sage Publications, c1992.</t>
        </is>
      </c>
      <c r="O221" t="inlineStr">
        <is>
          <t>1992</t>
        </is>
      </c>
      <c r="Q221" t="inlineStr">
        <is>
          <t>eng</t>
        </is>
      </c>
      <c r="R221" t="inlineStr">
        <is>
          <t>cau</t>
        </is>
      </c>
      <c r="S221" t="inlineStr">
        <is>
          <t>Research methods for primary care ; v. 2</t>
        </is>
      </c>
      <c r="T221" t="inlineStr">
        <is>
          <t xml:space="preserve">W  </t>
        </is>
      </c>
      <c r="U221" t="n">
        <v>10</v>
      </c>
      <c r="V221" t="n">
        <v>10</v>
      </c>
      <c r="W221" t="inlineStr">
        <is>
          <t>1999-10-29</t>
        </is>
      </c>
      <c r="X221" t="inlineStr">
        <is>
          <t>1999-10-29</t>
        </is>
      </c>
      <c r="Y221" t="inlineStr">
        <is>
          <t>1992-08-21</t>
        </is>
      </c>
      <c r="Z221" t="inlineStr">
        <is>
          <t>1992-08-21</t>
        </is>
      </c>
      <c r="AA221" t="n">
        <v>247</v>
      </c>
      <c r="AB221" t="n">
        <v>176</v>
      </c>
      <c r="AC221" t="n">
        <v>183</v>
      </c>
      <c r="AD221" t="n">
        <v>3</v>
      </c>
      <c r="AE221" t="n">
        <v>3</v>
      </c>
      <c r="AF221" t="n">
        <v>9</v>
      </c>
      <c r="AG221" t="n">
        <v>9</v>
      </c>
      <c r="AH221" t="n">
        <v>5</v>
      </c>
      <c r="AI221" t="n">
        <v>5</v>
      </c>
      <c r="AJ221" t="n">
        <v>1</v>
      </c>
      <c r="AK221" t="n">
        <v>1</v>
      </c>
      <c r="AL221" t="n">
        <v>6</v>
      </c>
      <c r="AM221" t="n">
        <v>6</v>
      </c>
      <c r="AN221" t="n">
        <v>1</v>
      </c>
      <c r="AO221" t="n">
        <v>1</v>
      </c>
      <c r="AP221" t="n">
        <v>0</v>
      </c>
      <c r="AQ221" t="n">
        <v>0</v>
      </c>
      <c r="AR221" t="inlineStr">
        <is>
          <t>No</t>
        </is>
      </c>
      <c r="AS221" t="inlineStr">
        <is>
          <t>Yes</t>
        </is>
      </c>
      <c r="AT221">
        <f>HYPERLINK("http://catalog.hathitrust.org/Record/002554663","HathiTrust Record")</f>
        <v/>
      </c>
      <c r="AU221">
        <f>HYPERLINK("https://creighton-primo.hosted.exlibrisgroup.com/primo-explore/search?tab=default_tab&amp;search_scope=EVERYTHING&amp;vid=01CRU&amp;lang=en_US&amp;offset=0&amp;query=any,contains,991001340609702656","Catalog Record")</f>
        <v/>
      </c>
      <c r="AV221">
        <f>HYPERLINK("http://www.worldcat.org/oclc/25245723","WorldCat Record")</f>
        <v/>
      </c>
      <c r="AW221" t="inlineStr">
        <is>
          <t>28395824:eng</t>
        </is>
      </c>
      <c r="AX221" t="inlineStr">
        <is>
          <t>25245723</t>
        </is>
      </c>
      <c r="AY221" t="inlineStr">
        <is>
          <t>991001340609702656</t>
        </is>
      </c>
      <c r="AZ221" t="inlineStr">
        <is>
          <t>991001340609702656</t>
        </is>
      </c>
      <c r="BA221" t="inlineStr">
        <is>
          <t>2259141430002656</t>
        </is>
      </c>
      <c r="BB221" t="inlineStr">
        <is>
          <t>BOOK</t>
        </is>
      </c>
      <c r="BD221" t="inlineStr">
        <is>
          <t>9780803944039</t>
        </is>
      </c>
      <c r="BE221" t="inlineStr">
        <is>
          <t>30001002455550</t>
        </is>
      </c>
      <c r="BF221" t="inlineStr">
        <is>
          <t>893460483</t>
        </is>
      </c>
    </row>
    <row r="222">
      <c r="A222" t="inlineStr">
        <is>
          <t>No</t>
        </is>
      </c>
      <c r="B222" t="inlineStr">
        <is>
          <t>CUHSL</t>
        </is>
      </c>
      <c r="C222" t="inlineStr">
        <is>
          <t>SHELVES</t>
        </is>
      </c>
      <c r="D222" t="inlineStr">
        <is>
          <t>W 20.5 U84 1988</t>
        </is>
      </c>
      <c r="E222" t="inlineStr">
        <is>
          <t>0                      W  0020500U  84          1988</t>
        </is>
      </c>
      <c r="F222" t="inlineStr">
        <is>
          <t>The Use of human beings in research : with special reference to clinical trials / edited by Stuart F. Spicker ... [et al.].</t>
        </is>
      </c>
      <c r="H222" t="inlineStr">
        <is>
          <t>No</t>
        </is>
      </c>
      <c r="I222" t="inlineStr">
        <is>
          <t>1</t>
        </is>
      </c>
      <c r="J222" t="inlineStr">
        <is>
          <t>No</t>
        </is>
      </c>
      <c r="K222" t="inlineStr">
        <is>
          <t>No</t>
        </is>
      </c>
      <c r="L222" t="inlineStr">
        <is>
          <t>0</t>
        </is>
      </c>
      <c r="N222" t="inlineStr">
        <is>
          <t>Dordrecht ; Boston : Kluwer Academic Publishers, c1988.</t>
        </is>
      </c>
      <c r="O222" t="inlineStr">
        <is>
          <t>1988</t>
        </is>
      </c>
      <c r="Q222" t="inlineStr">
        <is>
          <t>eng</t>
        </is>
      </c>
      <c r="R222" t="inlineStr">
        <is>
          <t xml:space="preserve">ne </t>
        </is>
      </c>
      <c r="S222" t="inlineStr">
        <is>
          <t>Philosophy and medicine ; v. 28</t>
        </is>
      </c>
      <c r="T222" t="inlineStr">
        <is>
          <t xml:space="preserve">W  </t>
        </is>
      </c>
      <c r="U222" t="n">
        <v>4</v>
      </c>
      <c r="V222" t="n">
        <v>4</v>
      </c>
      <c r="W222" t="inlineStr">
        <is>
          <t>2007-04-11</t>
        </is>
      </c>
      <c r="X222" t="inlineStr">
        <is>
          <t>2007-04-11</t>
        </is>
      </c>
      <c r="Y222" t="inlineStr">
        <is>
          <t>1989-01-25</t>
        </is>
      </c>
      <c r="Z222" t="inlineStr">
        <is>
          <t>1989-01-25</t>
        </is>
      </c>
      <c r="AA222" t="n">
        <v>366</v>
      </c>
      <c r="AB222" t="n">
        <v>272</v>
      </c>
      <c r="AC222" t="n">
        <v>284</v>
      </c>
      <c r="AD222" t="n">
        <v>1</v>
      </c>
      <c r="AE222" t="n">
        <v>1</v>
      </c>
      <c r="AF222" t="n">
        <v>24</v>
      </c>
      <c r="AG222" t="n">
        <v>25</v>
      </c>
      <c r="AH222" t="n">
        <v>8</v>
      </c>
      <c r="AI222" t="n">
        <v>9</v>
      </c>
      <c r="AJ222" t="n">
        <v>6</v>
      </c>
      <c r="AK222" t="n">
        <v>6</v>
      </c>
      <c r="AL222" t="n">
        <v>15</v>
      </c>
      <c r="AM222" t="n">
        <v>16</v>
      </c>
      <c r="AN222" t="n">
        <v>0</v>
      </c>
      <c r="AO222" t="n">
        <v>0</v>
      </c>
      <c r="AP222" t="n">
        <v>4</v>
      </c>
      <c r="AQ222" t="n">
        <v>4</v>
      </c>
      <c r="AR222" t="inlineStr">
        <is>
          <t>No</t>
        </is>
      </c>
      <c r="AS222" t="inlineStr">
        <is>
          <t>No</t>
        </is>
      </c>
      <c r="AU222">
        <f>HYPERLINK("https://creighton-primo.hosted.exlibrisgroup.com/primo-explore/search?tab=default_tab&amp;search_scope=EVERYTHING&amp;vid=01CRU&amp;lang=en_US&amp;offset=0&amp;query=any,contains,991001112179702656","Catalog Record")</f>
        <v/>
      </c>
      <c r="AV222">
        <f>HYPERLINK("http://www.worldcat.org/oclc/17676190","WorldCat Record")</f>
        <v/>
      </c>
      <c r="AW222" t="inlineStr">
        <is>
          <t>890222285:eng</t>
        </is>
      </c>
      <c r="AX222" t="inlineStr">
        <is>
          <t>17676190</t>
        </is>
      </c>
      <c r="AY222" t="inlineStr">
        <is>
          <t>991001112179702656</t>
        </is>
      </c>
      <c r="AZ222" t="inlineStr">
        <is>
          <t>991001112179702656</t>
        </is>
      </c>
      <c r="BA222" t="inlineStr">
        <is>
          <t>2259762950002656</t>
        </is>
      </c>
      <c r="BB222" t="inlineStr">
        <is>
          <t>BOOK</t>
        </is>
      </c>
      <c r="BE222" t="inlineStr">
        <is>
          <t>30001001612342</t>
        </is>
      </c>
      <c r="BF222" t="inlineStr">
        <is>
          <t>893363780</t>
        </is>
      </c>
    </row>
    <row r="223">
      <c r="A223" t="inlineStr">
        <is>
          <t>No</t>
        </is>
      </c>
      <c r="B223" t="inlineStr">
        <is>
          <t>CUHSL</t>
        </is>
      </c>
      <c r="C223" t="inlineStr">
        <is>
          <t>SHELVES</t>
        </is>
      </c>
      <c r="D223" t="inlineStr">
        <is>
          <t>W 20.5 V833e 1974</t>
        </is>
      </c>
      <c r="E223" t="inlineStr">
        <is>
          <t>0                      W  0020500V  833e        1974</t>
        </is>
      </c>
      <c r="F223" t="inlineStr">
        <is>
          <t>Ethical constraints and imperatives in medical research / by Maurice B. Visscher.</t>
        </is>
      </c>
      <c r="H223" t="inlineStr">
        <is>
          <t>No</t>
        </is>
      </c>
      <c r="I223" t="inlineStr">
        <is>
          <t>1</t>
        </is>
      </c>
      <c r="J223" t="inlineStr">
        <is>
          <t>No</t>
        </is>
      </c>
      <c r="K223" t="inlineStr">
        <is>
          <t>No</t>
        </is>
      </c>
      <c r="L223" t="inlineStr">
        <is>
          <t>0</t>
        </is>
      </c>
      <c r="M223" t="inlineStr">
        <is>
          <t>Visscher, Maurice B., 1901-1983.</t>
        </is>
      </c>
      <c r="N223" t="inlineStr">
        <is>
          <t>Springfield, IL. : Thomas, c1975.</t>
        </is>
      </c>
      <c r="O223" t="inlineStr">
        <is>
          <t>1975</t>
        </is>
      </c>
      <c r="Q223" t="inlineStr">
        <is>
          <t>eng</t>
        </is>
      </c>
      <c r="R223" t="inlineStr">
        <is>
          <t>ilu</t>
        </is>
      </c>
      <c r="T223" t="inlineStr">
        <is>
          <t xml:space="preserve">W  </t>
        </is>
      </c>
      <c r="U223" t="n">
        <v>1</v>
      </c>
      <c r="V223" t="n">
        <v>1</v>
      </c>
      <c r="W223" t="inlineStr">
        <is>
          <t>1991-11-15</t>
        </is>
      </c>
      <c r="X223" t="inlineStr">
        <is>
          <t>1991-11-15</t>
        </is>
      </c>
      <c r="Y223" t="inlineStr">
        <is>
          <t>1987-10-07</t>
        </is>
      </c>
      <c r="Z223" t="inlineStr">
        <is>
          <t>1987-10-07</t>
        </is>
      </c>
      <c r="AA223" t="n">
        <v>278</v>
      </c>
      <c r="AB223" t="n">
        <v>234</v>
      </c>
      <c r="AC223" t="n">
        <v>236</v>
      </c>
      <c r="AD223" t="n">
        <v>1</v>
      </c>
      <c r="AE223" t="n">
        <v>1</v>
      </c>
      <c r="AF223" t="n">
        <v>8</v>
      </c>
      <c r="AG223" t="n">
        <v>8</v>
      </c>
      <c r="AH223" t="n">
        <v>0</v>
      </c>
      <c r="AI223" t="n">
        <v>0</v>
      </c>
      <c r="AJ223" t="n">
        <v>2</v>
      </c>
      <c r="AK223" t="n">
        <v>2</v>
      </c>
      <c r="AL223" t="n">
        <v>2</v>
      </c>
      <c r="AM223" t="n">
        <v>2</v>
      </c>
      <c r="AN223" t="n">
        <v>0</v>
      </c>
      <c r="AO223" t="n">
        <v>0</v>
      </c>
      <c r="AP223" t="n">
        <v>5</v>
      </c>
      <c r="AQ223" t="n">
        <v>5</v>
      </c>
      <c r="AR223" t="inlineStr">
        <is>
          <t>No</t>
        </is>
      </c>
      <c r="AS223" t="inlineStr">
        <is>
          <t>Yes</t>
        </is>
      </c>
      <c r="AT223">
        <f>HYPERLINK("http://catalog.hathitrust.org/Record/001577232","HathiTrust Record")</f>
        <v/>
      </c>
      <c r="AU223">
        <f>HYPERLINK("https://creighton-primo.hosted.exlibrisgroup.com/primo-explore/search?tab=default_tab&amp;search_scope=EVERYTHING&amp;vid=01CRU&amp;lang=en_US&amp;offset=0&amp;query=any,contains,991001177259702656","Catalog Record")</f>
        <v/>
      </c>
      <c r="AV223">
        <f>HYPERLINK("http://www.worldcat.org/oclc/1137998","WorldCat Record")</f>
        <v/>
      </c>
      <c r="AW223" t="inlineStr">
        <is>
          <t>471657:eng</t>
        </is>
      </c>
      <c r="AX223" t="inlineStr">
        <is>
          <t>1137998</t>
        </is>
      </c>
      <c r="AY223" t="inlineStr">
        <is>
          <t>991001177259702656</t>
        </is>
      </c>
      <c r="AZ223" t="inlineStr">
        <is>
          <t>991001177259702656</t>
        </is>
      </c>
      <c r="BA223" t="inlineStr">
        <is>
          <t>2268480630002656</t>
        </is>
      </c>
      <c r="BB223" t="inlineStr">
        <is>
          <t>BOOK</t>
        </is>
      </c>
      <c r="BD223" t="inlineStr">
        <is>
          <t>9780398034047</t>
        </is>
      </c>
      <c r="BE223" t="inlineStr">
        <is>
          <t>30001000308215</t>
        </is>
      </c>
      <c r="BF223" t="inlineStr">
        <is>
          <t>893831972</t>
        </is>
      </c>
    </row>
    <row r="224">
      <c r="A224" t="inlineStr">
        <is>
          <t>No</t>
        </is>
      </c>
      <c r="B224" t="inlineStr">
        <is>
          <t>CUHSL</t>
        </is>
      </c>
      <c r="C224" t="inlineStr">
        <is>
          <t>SHELVES</t>
        </is>
      </c>
      <c r="D224" t="inlineStr">
        <is>
          <t>W 20.5 W362s 1995</t>
        </is>
      </c>
      <c r="E224" t="inlineStr">
        <is>
          <t>0                      W  0020500W  362s        1995</t>
        </is>
      </c>
      <c r="F224" t="inlineStr">
        <is>
          <t>Science and the quiet art : the role of medical research in health care / David Weatherall.</t>
        </is>
      </c>
      <c r="H224" t="inlineStr">
        <is>
          <t>No</t>
        </is>
      </c>
      <c r="I224" t="inlineStr">
        <is>
          <t>1</t>
        </is>
      </c>
      <c r="J224" t="inlineStr">
        <is>
          <t>No</t>
        </is>
      </c>
      <c r="K224" t="inlineStr">
        <is>
          <t>No</t>
        </is>
      </c>
      <c r="L224" t="inlineStr">
        <is>
          <t>0</t>
        </is>
      </c>
      <c r="M224" t="inlineStr">
        <is>
          <t>Weatherall, D. J.</t>
        </is>
      </c>
      <c r="N224" t="inlineStr">
        <is>
          <t>New York : W.W. Norton, c1995.</t>
        </is>
      </c>
      <c r="O224" t="inlineStr">
        <is>
          <t>1995</t>
        </is>
      </c>
      <c r="P224" t="inlineStr">
        <is>
          <t>1st ed.</t>
        </is>
      </c>
      <c r="Q224" t="inlineStr">
        <is>
          <t>eng</t>
        </is>
      </c>
      <c r="R224" t="inlineStr">
        <is>
          <t>nyu</t>
        </is>
      </c>
      <c r="S224" t="inlineStr">
        <is>
          <t>Commonwealth Fund Book Program</t>
        </is>
      </c>
      <c r="T224" t="inlineStr">
        <is>
          <t xml:space="preserve">W  </t>
        </is>
      </c>
      <c r="U224" t="n">
        <v>5</v>
      </c>
      <c r="V224" t="n">
        <v>5</v>
      </c>
      <c r="W224" t="inlineStr">
        <is>
          <t>1997-10-05</t>
        </is>
      </c>
      <c r="X224" t="inlineStr">
        <is>
          <t>1997-10-05</t>
        </is>
      </c>
      <c r="Y224" t="inlineStr">
        <is>
          <t>1995-04-24</t>
        </is>
      </c>
      <c r="Z224" t="inlineStr">
        <is>
          <t>1995-04-24</t>
        </is>
      </c>
      <c r="AA224" t="n">
        <v>361</v>
      </c>
      <c r="AB224" t="n">
        <v>318</v>
      </c>
      <c r="AC224" t="n">
        <v>319</v>
      </c>
      <c r="AD224" t="n">
        <v>1</v>
      </c>
      <c r="AE224" t="n">
        <v>1</v>
      </c>
      <c r="AF224" t="n">
        <v>14</v>
      </c>
      <c r="AG224" t="n">
        <v>14</v>
      </c>
      <c r="AH224" t="n">
        <v>6</v>
      </c>
      <c r="AI224" t="n">
        <v>6</v>
      </c>
      <c r="AJ224" t="n">
        <v>2</v>
      </c>
      <c r="AK224" t="n">
        <v>2</v>
      </c>
      <c r="AL224" t="n">
        <v>9</v>
      </c>
      <c r="AM224" t="n">
        <v>9</v>
      </c>
      <c r="AN224" t="n">
        <v>0</v>
      </c>
      <c r="AO224" t="n">
        <v>0</v>
      </c>
      <c r="AP224" t="n">
        <v>1</v>
      </c>
      <c r="AQ224" t="n">
        <v>1</v>
      </c>
      <c r="AR224" t="inlineStr">
        <is>
          <t>No</t>
        </is>
      </c>
      <c r="AS224" t="inlineStr">
        <is>
          <t>No</t>
        </is>
      </c>
      <c r="AU224">
        <f>HYPERLINK("https://creighton-primo.hosted.exlibrisgroup.com/primo-explore/search?tab=default_tab&amp;search_scope=EVERYTHING&amp;vid=01CRU&amp;lang=en_US&amp;offset=0&amp;query=any,contains,991001399679702656","Catalog Record")</f>
        <v/>
      </c>
      <c r="AV224">
        <f>HYPERLINK("http://www.worldcat.org/oclc/30438347","WorldCat Record")</f>
        <v/>
      </c>
      <c r="AW224" t="inlineStr">
        <is>
          <t>4202353186:eng</t>
        </is>
      </c>
      <c r="AX224" t="inlineStr">
        <is>
          <t>30438347</t>
        </is>
      </c>
      <c r="AY224" t="inlineStr">
        <is>
          <t>991001399679702656</t>
        </is>
      </c>
      <c r="AZ224" t="inlineStr">
        <is>
          <t>991001399679702656</t>
        </is>
      </c>
      <c r="BA224" t="inlineStr">
        <is>
          <t>2268869530002656</t>
        </is>
      </c>
      <c r="BB224" t="inlineStr">
        <is>
          <t>BOOK</t>
        </is>
      </c>
      <c r="BD224" t="inlineStr">
        <is>
          <t>9780393037449</t>
        </is>
      </c>
      <c r="BE224" t="inlineStr">
        <is>
          <t>30001003147545</t>
        </is>
      </c>
      <c r="BF224" t="inlineStr">
        <is>
          <t>893649161</t>
        </is>
      </c>
    </row>
    <row r="225">
      <c r="A225" t="inlineStr">
        <is>
          <t>No</t>
        </is>
      </c>
      <c r="B225" t="inlineStr">
        <is>
          <t>CUHSL</t>
        </is>
      </c>
      <c r="C225" t="inlineStr">
        <is>
          <t>SHELVES</t>
        </is>
      </c>
      <c r="D225" t="inlineStr">
        <is>
          <t>W 20.9 R474b 1972</t>
        </is>
      </c>
      <c r="E225" t="inlineStr">
        <is>
          <t>0                      W  0020900R  474b        1972</t>
        </is>
      </c>
      <c r="F225" t="inlineStr">
        <is>
          <t>The Rho Chi Society : the development of the honor society of American pharmacy / by Roy A. Bowers and David L. Cowen.</t>
        </is>
      </c>
      <c r="H225" t="inlineStr">
        <is>
          <t>No</t>
        </is>
      </c>
      <c r="I225" t="inlineStr">
        <is>
          <t>1</t>
        </is>
      </c>
      <c r="J225" t="inlineStr">
        <is>
          <t>No</t>
        </is>
      </c>
      <c r="K225" t="inlineStr">
        <is>
          <t>No</t>
        </is>
      </c>
      <c r="L225" t="inlineStr">
        <is>
          <t>0</t>
        </is>
      </c>
      <c r="M225" t="inlineStr">
        <is>
          <t>Bowers, Roy A.</t>
        </is>
      </c>
      <c r="N225" t="inlineStr">
        <is>
          <t>Columbus, Ohio : Rho Chi Society, 1972.</t>
        </is>
      </c>
      <c r="O225" t="inlineStr">
        <is>
          <t>1972</t>
        </is>
      </c>
      <c r="P225" t="inlineStr">
        <is>
          <t>4th ed.</t>
        </is>
      </c>
      <c r="Q225" t="inlineStr">
        <is>
          <t>eng</t>
        </is>
      </c>
      <c r="R225" t="inlineStr">
        <is>
          <t>ohu</t>
        </is>
      </c>
      <c r="T225" t="inlineStr">
        <is>
          <t xml:space="preserve">W  </t>
        </is>
      </c>
      <c r="U225" t="n">
        <v>1</v>
      </c>
      <c r="V225" t="n">
        <v>1</v>
      </c>
      <c r="W225" t="inlineStr">
        <is>
          <t>2010-04-27</t>
        </is>
      </c>
      <c r="X225" t="inlineStr">
        <is>
          <t>2010-04-27</t>
        </is>
      </c>
      <c r="Y225" t="inlineStr">
        <is>
          <t>1987-10-07</t>
        </is>
      </c>
      <c r="Z225" t="inlineStr">
        <is>
          <t>1987-10-07</t>
        </is>
      </c>
      <c r="AA225" t="n">
        <v>47</v>
      </c>
      <c r="AB225" t="n">
        <v>44</v>
      </c>
      <c r="AC225" t="n">
        <v>86</v>
      </c>
      <c r="AD225" t="n">
        <v>2</v>
      </c>
      <c r="AE225" t="n">
        <v>3</v>
      </c>
      <c r="AF225" t="n">
        <v>4</v>
      </c>
      <c r="AG225" t="n">
        <v>5</v>
      </c>
      <c r="AH225" t="n">
        <v>2</v>
      </c>
      <c r="AI225" t="n">
        <v>2</v>
      </c>
      <c r="AJ225" t="n">
        <v>1</v>
      </c>
      <c r="AK225" t="n">
        <v>1</v>
      </c>
      <c r="AL225" t="n">
        <v>0</v>
      </c>
      <c r="AM225" t="n">
        <v>0</v>
      </c>
      <c r="AN225" t="n">
        <v>1</v>
      </c>
      <c r="AO225" t="n">
        <v>2</v>
      </c>
      <c r="AP225" t="n">
        <v>0</v>
      </c>
      <c r="AQ225" t="n">
        <v>0</v>
      </c>
      <c r="AR225" t="inlineStr">
        <is>
          <t>No</t>
        </is>
      </c>
      <c r="AS225" t="inlineStr">
        <is>
          <t>Yes</t>
        </is>
      </c>
      <c r="AT225">
        <f>HYPERLINK("http://catalog.hathitrust.org/Record/001573488","HathiTrust Record")</f>
        <v/>
      </c>
      <c r="AU225">
        <f>HYPERLINK("https://creighton-primo.hosted.exlibrisgroup.com/primo-explore/search?tab=default_tab&amp;search_scope=EVERYTHING&amp;vid=01CRU&amp;lang=en_US&amp;offset=0&amp;query=any,contains,991001177179702656","Catalog Record")</f>
        <v/>
      </c>
      <c r="AV225">
        <f>HYPERLINK("http://www.worldcat.org/oclc/378948","WorldCat Record")</f>
        <v/>
      </c>
      <c r="AW225" t="inlineStr">
        <is>
          <t>1123323:eng</t>
        </is>
      </c>
      <c r="AX225" t="inlineStr">
        <is>
          <t>378948</t>
        </is>
      </c>
      <c r="AY225" t="inlineStr">
        <is>
          <t>991001177179702656</t>
        </is>
      </c>
      <c r="AZ225" t="inlineStr">
        <is>
          <t>991001177179702656</t>
        </is>
      </c>
      <c r="BA225" t="inlineStr">
        <is>
          <t>2264363990002656</t>
        </is>
      </c>
      <c r="BB225" t="inlineStr">
        <is>
          <t>BOOK</t>
        </is>
      </c>
      <c r="BE225" t="inlineStr">
        <is>
          <t>30001000308199</t>
        </is>
      </c>
      <c r="BF225" t="inlineStr">
        <is>
          <t>893460325</t>
        </is>
      </c>
    </row>
    <row r="226">
      <c r="A226" t="inlineStr">
        <is>
          <t>No</t>
        </is>
      </c>
      <c r="B226" t="inlineStr">
        <is>
          <t>CUHSL</t>
        </is>
      </c>
      <c r="C226" t="inlineStr">
        <is>
          <t>SHELVES</t>
        </is>
      </c>
      <c r="D226" t="inlineStr">
        <is>
          <t>W 21 A512c 1984</t>
        </is>
      </c>
      <c r="E226" t="inlineStr">
        <is>
          <t>0                      W  0021000A  512c        1984</t>
        </is>
      </c>
      <c r="F226" t="inlineStr">
        <is>
          <t>Career choices for women in medicine.</t>
        </is>
      </c>
      <c r="G226" t="inlineStr">
        <is>
          <t>V. 2</t>
        </is>
      </c>
      <c r="H226" t="inlineStr">
        <is>
          <t>Yes</t>
        </is>
      </c>
      <c r="I226" t="inlineStr">
        <is>
          <t>1</t>
        </is>
      </c>
      <c r="J226" t="inlineStr">
        <is>
          <t>No</t>
        </is>
      </c>
      <c r="K226" t="inlineStr">
        <is>
          <t>No</t>
        </is>
      </c>
      <c r="L226" t="inlineStr">
        <is>
          <t>0</t>
        </is>
      </c>
      <c r="M226" t="inlineStr">
        <is>
          <t>American Medical Women's Association.</t>
        </is>
      </c>
      <c r="N226" t="inlineStr">
        <is>
          <t>New York : American Medical Women's Association, c1984.</t>
        </is>
      </c>
      <c r="O226" t="inlineStr">
        <is>
          <t>1984</t>
        </is>
      </c>
      <c r="P226" t="inlineStr">
        <is>
          <t>2nd ed.</t>
        </is>
      </c>
      <c r="Q226" t="inlineStr">
        <is>
          <t>eng</t>
        </is>
      </c>
      <c r="R226" t="inlineStr">
        <is>
          <t>nyu</t>
        </is>
      </c>
      <c r="T226" t="inlineStr">
        <is>
          <t xml:space="preserve">W  </t>
        </is>
      </c>
      <c r="U226" t="n">
        <v>3</v>
      </c>
      <c r="V226" t="n">
        <v>6</v>
      </c>
      <c r="W226" t="inlineStr">
        <is>
          <t>2004-02-09</t>
        </is>
      </c>
      <c r="X226" t="inlineStr">
        <is>
          <t>2004-02-09</t>
        </is>
      </c>
      <c r="Y226" t="inlineStr">
        <is>
          <t>1988-10-15</t>
        </is>
      </c>
      <c r="Z226" t="inlineStr">
        <is>
          <t>1988-10-15</t>
        </is>
      </c>
      <c r="AA226" t="n">
        <v>14</v>
      </c>
      <c r="AB226" t="n">
        <v>14</v>
      </c>
      <c r="AC226" t="n">
        <v>24</v>
      </c>
      <c r="AD226" t="n">
        <v>1</v>
      </c>
      <c r="AE226" t="n">
        <v>1</v>
      </c>
      <c r="AF226" t="n">
        <v>0</v>
      </c>
      <c r="AG226" t="n">
        <v>0</v>
      </c>
      <c r="AH226" t="n">
        <v>0</v>
      </c>
      <c r="AI226" t="n">
        <v>0</v>
      </c>
      <c r="AJ226" t="n">
        <v>0</v>
      </c>
      <c r="AK226" t="n">
        <v>0</v>
      </c>
      <c r="AL226" t="n">
        <v>0</v>
      </c>
      <c r="AM226" t="n">
        <v>0</v>
      </c>
      <c r="AN226" t="n">
        <v>0</v>
      </c>
      <c r="AO226" t="n">
        <v>0</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HYPERLINK("https://creighton-primo.hosted.exlibrisgroup.com/primo-explore/search?tab=default_tab&amp;search_scope=EVERYTHING&amp;vid=01CRU&amp;lang=en_US&amp;offset=0&amp;query=any,contains,991000764229702656","Catalog Record")</f>
        <v/>
      </c>
      <c r="AV226">
        <f>HYPERLINK("http://www.worldcat.org/oclc/15228707","WorldCat Record")</f>
        <v/>
      </c>
      <c r="AW226" t="inlineStr">
        <is>
          <t>54920854:eng</t>
        </is>
      </c>
      <c r="AX226" t="inlineStr">
        <is>
          <t>15228707</t>
        </is>
      </c>
      <c r="AY226" t="inlineStr">
        <is>
          <t>991000764229702656</t>
        </is>
      </c>
      <c r="AZ226" t="inlineStr">
        <is>
          <t>991000764229702656</t>
        </is>
      </c>
      <c r="BA226" t="inlineStr">
        <is>
          <t>2270259340002656</t>
        </is>
      </c>
      <c r="BB226" t="inlineStr">
        <is>
          <t>BOOK</t>
        </is>
      </c>
      <c r="BE226" t="inlineStr">
        <is>
          <t>30001001392721</t>
        </is>
      </c>
      <c r="BF226" t="inlineStr">
        <is>
          <t>893267412</t>
        </is>
      </c>
    </row>
    <row r="227">
      <c r="A227" t="inlineStr">
        <is>
          <t>No</t>
        </is>
      </c>
      <c r="B227" t="inlineStr">
        <is>
          <t>CUHSL</t>
        </is>
      </c>
      <c r="C227" t="inlineStr">
        <is>
          <t>SHELVES</t>
        </is>
      </c>
      <c r="D227" t="inlineStr">
        <is>
          <t>W 21 A512c 1984</t>
        </is>
      </c>
      <c r="E227" t="inlineStr">
        <is>
          <t>0                      W  0021000A  512c        1984</t>
        </is>
      </c>
      <c r="F227" t="inlineStr">
        <is>
          <t>Career choices for women in medicine.</t>
        </is>
      </c>
      <c r="G227" t="inlineStr">
        <is>
          <t>V. 1</t>
        </is>
      </c>
      <c r="H227" t="inlineStr">
        <is>
          <t>Yes</t>
        </is>
      </c>
      <c r="I227" t="inlineStr">
        <is>
          <t>1</t>
        </is>
      </c>
      <c r="J227" t="inlineStr">
        <is>
          <t>No</t>
        </is>
      </c>
      <c r="K227" t="inlineStr">
        <is>
          <t>No</t>
        </is>
      </c>
      <c r="L227" t="inlineStr">
        <is>
          <t>0</t>
        </is>
      </c>
      <c r="M227" t="inlineStr">
        <is>
          <t>American Medical Women's Association.</t>
        </is>
      </c>
      <c r="N227" t="inlineStr">
        <is>
          <t>New York : American Medical Women's Association, c1984.</t>
        </is>
      </c>
      <c r="O227" t="inlineStr">
        <is>
          <t>1984</t>
        </is>
      </c>
      <c r="P227" t="inlineStr">
        <is>
          <t>2nd ed.</t>
        </is>
      </c>
      <c r="Q227" t="inlineStr">
        <is>
          <t>eng</t>
        </is>
      </c>
      <c r="R227" t="inlineStr">
        <is>
          <t>nyu</t>
        </is>
      </c>
      <c r="T227" t="inlineStr">
        <is>
          <t xml:space="preserve">W  </t>
        </is>
      </c>
      <c r="U227" t="n">
        <v>3</v>
      </c>
      <c r="V227" t="n">
        <v>6</v>
      </c>
      <c r="W227" t="inlineStr">
        <is>
          <t>2004-02-09</t>
        </is>
      </c>
      <c r="X227" t="inlineStr">
        <is>
          <t>2004-02-09</t>
        </is>
      </c>
      <c r="Y227" t="inlineStr">
        <is>
          <t>1988-10-15</t>
        </is>
      </c>
      <c r="Z227" t="inlineStr">
        <is>
          <t>1988-10-15</t>
        </is>
      </c>
      <c r="AA227" t="n">
        <v>14</v>
      </c>
      <c r="AB227" t="n">
        <v>14</v>
      </c>
      <c r="AC227" t="n">
        <v>24</v>
      </c>
      <c r="AD227" t="n">
        <v>1</v>
      </c>
      <c r="AE227" t="n">
        <v>1</v>
      </c>
      <c r="AF227" t="n">
        <v>0</v>
      </c>
      <c r="AG227" t="n">
        <v>0</v>
      </c>
      <c r="AH227" t="n">
        <v>0</v>
      </c>
      <c r="AI227" t="n">
        <v>0</v>
      </c>
      <c r="AJ227" t="n">
        <v>0</v>
      </c>
      <c r="AK227" t="n">
        <v>0</v>
      </c>
      <c r="AL227" t="n">
        <v>0</v>
      </c>
      <c r="AM227" t="n">
        <v>0</v>
      </c>
      <c r="AN227" t="n">
        <v>0</v>
      </c>
      <c r="AO227" t="n">
        <v>0</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HYPERLINK("https://creighton-primo.hosted.exlibrisgroup.com/primo-explore/search?tab=default_tab&amp;search_scope=EVERYTHING&amp;vid=01CRU&amp;lang=en_US&amp;offset=0&amp;query=any,contains,991000764229702656","Catalog Record")</f>
        <v/>
      </c>
      <c r="AV227">
        <f>HYPERLINK("http://www.worldcat.org/oclc/15228707","WorldCat Record")</f>
        <v/>
      </c>
      <c r="AW227" t="inlineStr">
        <is>
          <t>54920854:eng</t>
        </is>
      </c>
      <c r="AX227" t="inlineStr">
        <is>
          <t>15228707</t>
        </is>
      </c>
      <c r="AY227" t="inlineStr">
        <is>
          <t>991000764229702656</t>
        </is>
      </c>
      <c r="AZ227" t="inlineStr">
        <is>
          <t>991000764229702656</t>
        </is>
      </c>
      <c r="BA227" t="inlineStr">
        <is>
          <t>2270259340002656</t>
        </is>
      </c>
      <c r="BB227" t="inlineStr">
        <is>
          <t>BOOK</t>
        </is>
      </c>
      <c r="BE227" t="inlineStr">
        <is>
          <t>30001001392713</t>
        </is>
      </c>
      <c r="BF227" t="inlineStr">
        <is>
          <t>893273056</t>
        </is>
      </c>
    </row>
    <row r="228">
      <c r="A228" t="inlineStr">
        <is>
          <t>No</t>
        </is>
      </c>
      <c r="B228" t="inlineStr">
        <is>
          <t>CUHSL</t>
        </is>
      </c>
      <c r="C228" t="inlineStr">
        <is>
          <t>SHELVES</t>
        </is>
      </c>
      <c r="D228" t="inlineStr">
        <is>
          <t>W 21 A512w 1991</t>
        </is>
      </c>
      <c r="E228" t="inlineStr">
        <is>
          <t>0                      W  0021000A  512w        1991</t>
        </is>
      </c>
      <c r="F228" t="inlineStr">
        <is>
          <t>Women in medicine in America : in the mainstream / American Medical Association</t>
        </is>
      </c>
      <c r="H228" t="inlineStr">
        <is>
          <t>No</t>
        </is>
      </c>
      <c r="I228" t="inlineStr">
        <is>
          <t>1</t>
        </is>
      </c>
      <c r="J228" t="inlineStr">
        <is>
          <t>No</t>
        </is>
      </c>
      <c r="K228" t="inlineStr">
        <is>
          <t>No</t>
        </is>
      </c>
      <c r="L228" t="inlineStr">
        <is>
          <t>0</t>
        </is>
      </c>
      <c r="M228" t="inlineStr">
        <is>
          <t>American Medical Association.</t>
        </is>
      </c>
      <c r="N228" t="inlineStr">
        <is>
          <t>Chicago : American Medical Association, c1991.</t>
        </is>
      </c>
      <c r="O228" t="inlineStr">
        <is>
          <t>1991</t>
        </is>
      </c>
      <c r="Q228" t="inlineStr">
        <is>
          <t>eng</t>
        </is>
      </c>
      <c r="R228" t="inlineStr">
        <is>
          <t>ilu</t>
        </is>
      </c>
      <c r="T228" t="inlineStr">
        <is>
          <t xml:space="preserve">W  </t>
        </is>
      </c>
      <c r="U228" t="n">
        <v>4</v>
      </c>
      <c r="V228" t="n">
        <v>4</v>
      </c>
      <c r="W228" t="inlineStr">
        <is>
          <t>1992-08-19</t>
        </is>
      </c>
      <c r="X228" t="inlineStr">
        <is>
          <t>1992-08-19</t>
        </is>
      </c>
      <c r="Y228" t="inlineStr">
        <is>
          <t>1992-07-31</t>
        </is>
      </c>
      <c r="Z228" t="inlineStr">
        <is>
          <t>1992-07-31</t>
        </is>
      </c>
      <c r="AA228" t="n">
        <v>88</v>
      </c>
      <c r="AB228" t="n">
        <v>83</v>
      </c>
      <c r="AC228" t="n">
        <v>85</v>
      </c>
      <c r="AD228" t="n">
        <v>1</v>
      </c>
      <c r="AE228" t="n">
        <v>1</v>
      </c>
      <c r="AF228" t="n">
        <v>5</v>
      </c>
      <c r="AG228" t="n">
        <v>5</v>
      </c>
      <c r="AH228" t="n">
        <v>0</v>
      </c>
      <c r="AI228" t="n">
        <v>0</v>
      </c>
      <c r="AJ228" t="n">
        <v>3</v>
      </c>
      <c r="AK228" t="n">
        <v>3</v>
      </c>
      <c r="AL228" t="n">
        <v>3</v>
      </c>
      <c r="AM228" t="n">
        <v>3</v>
      </c>
      <c r="AN228" t="n">
        <v>0</v>
      </c>
      <c r="AO228" t="n">
        <v>0</v>
      </c>
      <c r="AP228" t="n">
        <v>0</v>
      </c>
      <c r="AQ228" t="n">
        <v>0</v>
      </c>
      <c r="AR228" t="inlineStr">
        <is>
          <t>No</t>
        </is>
      </c>
      <c r="AS228" t="inlineStr">
        <is>
          <t>Yes</t>
        </is>
      </c>
      <c r="AT228">
        <f>HYPERLINK("http://catalog.hathitrust.org/Record/002635443","HathiTrust Record")</f>
        <v/>
      </c>
      <c r="AU228">
        <f>HYPERLINK("https://creighton-primo.hosted.exlibrisgroup.com/primo-explore/search?tab=default_tab&amp;search_scope=EVERYTHING&amp;vid=01CRU&amp;lang=en_US&amp;offset=0&amp;query=any,contains,991001305989702656","Catalog Record")</f>
        <v/>
      </c>
      <c r="AV228">
        <f>HYPERLINK("http://www.worldcat.org/oclc/25500799","WorldCat Record")</f>
        <v/>
      </c>
      <c r="AW228" t="inlineStr">
        <is>
          <t>465192326:eng</t>
        </is>
      </c>
      <c r="AX228" t="inlineStr">
        <is>
          <t>25500799</t>
        </is>
      </c>
      <c r="AY228" t="inlineStr">
        <is>
          <t>991001305989702656</t>
        </is>
      </c>
      <c r="AZ228" t="inlineStr">
        <is>
          <t>991001305989702656</t>
        </is>
      </c>
      <c r="BA228" t="inlineStr">
        <is>
          <t>2270058920002656</t>
        </is>
      </c>
      <c r="BB228" t="inlineStr">
        <is>
          <t>BOOK</t>
        </is>
      </c>
      <c r="BD228" t="inlineStr">
        <is>
          <t>9780899704661</t>
        </is>
      </c>
      <c r="BE228" t="inlineStr">
        <is>
          <t>30001002413849</t>
        </is>
      </c>
      <c r="BF228" t="inlineStr">
        <is>
          <t>893358450</t>
        </is>
      </c>
    </row>
    <row r="229">
      <c r="A229" t="inlineStr">
        <is>
          <t>No</t>
        </is>
      </c>
      <c r="B229" t="inlineStr">
        <is>
          <t>CUHSL</t>
        </is>
      </c>
      <c r="C229" t="inlineStr">
        <is>
          <t>SHELVES</t>
        </is>
      </c>
      <c r="D229" t="inlineStr">
        <is>
          <t>W 21 B171L 1993</t>
        </is>
      </c>
      <c r="E229" t="inlineStr">
        <is>
          <t>0                      W  0021000B  171L        1993</t>
        </is>
      </c>
      <c r="F229" t="inlineStr">
        <is>
          <t>Leaving the bedside : the search for a nonclinical medical career / American Medical Association, Department of Physician Licensure and Career Resources.</t>
        </is>
      </c>
      <c r="H229" t="inlineStr">
        <is>
          <t>No</t>
        </is>
      </c>
      <c r="I229" t="inlineStr">
        <is>
          <t>1</t>
        </is>
      </c>
      <c r="J229" t="inlineStr">
        <is>
          <t>No</t>
        </is>
      </c>
      <c r="K229" t="inlineStr">
        <is>
          <t>No</t>
        </is>
      </c>
      <c r="L229" t="inlineStr">
        <is>
          <t>0</t>
        </is>
      </c>
      <c r="M229" t="inlineStr">
        <is>
          <t>Balagot, Maija.</t>
        </is>
      </c>
      <c r="N229" t="inlineStr">
        <is>
          <t>Chicago, Ill. : American Medical Association, c1992</t>
        </is>
      </c>
      <c r="O229" t="inlineStr">
        <is>
          <t>1993</t>
        </is>
      </c>
      <c r="Q229" t="inlineStr">
        <is>
          <t>eng</t>
        </is>
      </c>
      <c r="R229" t="inlineStr">
        <is>
          <t>ilu</t>
        </is>
      </c>
      <c r="T229" t="inlineStr">
        <is>
          <t xml:space="preserve">W  </t>
        </is>
      </c>
      <c r="U229" t="n">
        <v>15</v>
      </c>
      <c r="V229" t="n">
        <v>15</v>
      </c>
      <c r="W229" t="inlineStr">
        <is>
          <t>2007-05-06</t>
        </is>
      </c>
      <c r="X229" t="inlineStr">
        <is>
          <t>2007-05-06</t>
        </is>
      </c>
      <c r="Y229" t="inlineStr">
        <is>
          <t>1994-08-25</t>
        </is>
      </c>
      <c r="Z229" t="inlineStr">
        <is>
          <t>1994-08-25</t>
        </is>
      </c>
      <c r="AA229" t="n">
        <v>34</v>
      </c>
      <c r="AB229" t="n">
        <v>32</v>
      </c>
      <c r="AC229" t="n">
        <v>43</v>
      </c>
      <c r="AD229" t="n">
        <v>1</v>
      </c>
      <c r="AE229" t="n">
        <v>1</v>
      </c>
      <c r="AF229" t="n">
        <v>0</v>
      </c>
      <c r="AG229" t="n">
        <v>0</v>
      </c>
      <c r="AH229" t="n">
        <v>0</v>
      </c>
      <c r="AI229" t="n">
        <v>0</v>
      </c>
      <c r="AJ229" t="n">
        <v>0</v>
      </c>
      <c r="AK229" t="n">
        <v>0</v>
      </c>
      <c r="AL229" t="n">
        <v>0</v>
      </c>
      <c r="AM229" t="n">
        <v>0</v>
      </c>
      <c r="AN229" t="n">
        <v>0</v>
      </c>
      <c r="AO229" t="n">
        <v>0</v>
      </c>
      <c r="AP229" t="n">
        <v>0</v>
      </c>
      <c r="AQ229" t="n">
        <v>0</v>
      </c>
      <c r="AR229" t="inlineStr">
        <is>
          <t>No</t>
        </is>
      </c>
      <c r="AS229" t="inlineStr">
        <is>
          <t>Yes</t>
        </is>
      </c>
      <c r="AT229">
        <f>HYPERLINK("http://catalog.hathitrust.org/Record/002654934","HathiTrust Record")</f>
        <v/>
      </c>
      <c r="AU229">
        <f>HYPERLINK("https://creighton-primo.hosted.exlibrisgroup.com/primo-explore/search?tab=default_tab&amp;search_scope=EVERYTHING&amp;vid=01CRU&amp;lang=en_US&amp;offset=0&amp;query=any,contains,991001232999702656","Catalog Record")</f>
        <v/>
      </c>
      <c r="AV229">
        <f>HYPERLINK("http://www.worldcat.org/oclc/26820710","WorldCat Record")</f>
        <v/>
      </c>
      <c r="AW229" t="inlineStr">
        <is>
          <t>29497776:eng</t>
        </is>
      </c>
      <c r="AX229" t="inlineStr">
        <is>
          <t>26820710</t>
        </is>
      </c>
      <c r="AY229" t="inlineStr">
        <is>
          <t>991001232999702656</t>
        </is>
      </c>
      <c r="AZ229" t="inlineStr">
        <is>
          <t>991001232999702656</t>
        </is>
      </c>
      <c r="BA229" t="inlineStr">
        <is>
          <t>2268404130002656</t>
        </is>
      </c>
      <c r="BB229" t="inlineStr">
        <is>
          <t>BOOK</t>
        </is>
      </c>
      <c r="BD229" t="inlineStr">
        <is>
          <t>9780899704647</t>
        </is>
      </c>
      <c r="BE229" t="inlineStr">
        <is>
          <t>30001003007103</t>
        </is>
      </c>
      <c r="BF229" t="inlineStr">
        <is>
          <t>893541144</t>
        </is>
      </c>
    </row>
    <row r="230">
      <c r="A230" t="inlineStr">
        <is>
          <t>No</t>
        </is>
      </c>
      <c r="B230" t="inlineStr">
        <is>
          <t>CUHSL</t>
        </is>
      </c>
      <c r="C230" t="inlineStr">
        <is>
          <t>SHELVES</t>
        </is>
      </c>
      <c r="D230" t="inlineStr">
        <is>
          <t>W 21 B628 1991</t>
        </is>
      </c>
      <c r="E230" t="inlineStr">
        <is>
          <t>0                      W  0021000B  628         1991</t>
        </is>
      </c>
      <c r="F230" t="inlineStr">
        <is>
          <t>Black Dentistry in the 21st Century : [workshop/conference], June 23-27, 1991, Ann Arbor, Michigan / sponsored by University of Michigan, School of Dentistry; co-editors, Michael E. Razzoog, Emerson Robinson.</t>
        </is>
      </c>
      <c r="H230" t="inlineStr">
        <is>
          <t>No</t>
        </is>
      </c>
      <c r="I230" t="inlineStr">
        <is>
          <t>1</t>
        </is>
      </c>
      <c r="J230" t="inlineStr">
        <is>
          <t>No</t>
        </is>
      </c>
      <c r="K230" t="inlineStr">
        <is>
          <t>No</t>
        </is>
      </c>
      <c r="L230" t="inlineStr">
        <is>
          <t>0</t>
        </is>
      </c>
      <c r="M230" t="inlineStr">
        <is>
          <t>Black Dentistry in the 21st Century (1991 : Ann Arbor, Mich.)</t>
        </is>
      </c>
      <c r="O230" t="inlineStr">
        <is>
          <t>1991</t>
        </is>
      </c>
      <c r="Q230" t="inlineStr">
        <is>
          <t>eng</t>
        </is>
      </c>
      <c r="R230" t="inlineStr">
        <is>
          <t>miu</t>
        </is>
      </c>
      <c r="T230" t="inlineStr">
        <is>
          <t xml:space="preserve">W  </t>
        </is>
      </c>
      <c r="U230" t="n">
        <v>4</v>
      </c>
      <c r="V230" t="n">
        <v>4</v>
      </c>
      <c r="W230" t="inlineStr">
        <is>
          <t>2004-12-09</t>
        </is>
      </c>
      <c r="X230" t="inlineStr">
        <is>
          <t>2004-12-09</t>
        </is>
      </c>
      <c r="Y230" t="inlineStr">
        <is>
          <t>1993-04-07</t>
        </is>
      </c>
      <c r="Z230" t="inlineStr">
        <is>
          <t>1993-04-07</t>
        </is>
      </c>
      <c r="AA230" t="n">
        <v>24</v>
      </c>
      <c r="AB230" t="n">
        <v>24</v>
      </c>
      <c r="AC230" t="n">
        <v>26</v>
      </c>
      <c r="AD230" t="n">
        <v>1</v>
      </c>
      <c r="AE230" t="n">
        <v>1</v>
      </c>
      <c r="AF230" t="n">
        <v>1</v>
      </c>
      <c r="AG230" t="n">
        <v>1</v>
      </c>
      <c r="AH230" t="n">
        <v>0</v>
      </c>
      <c r="AI230" t="n">
        <v>0</v>
      </c>
      <c r="AJ230" t="n">
        <v>0</v>
      </c>
      <c r="AK230" t="n">
        <v>0</v>
      </c>
      <c r="AL230" t="n">
        <v>1</v>
      </c>
      <c r="AM230" t="n">
        <v>1</v>
      </c>
      <c r="AN230" t="n">
        <v>0</v>
      </c>
      <c r="AO230" t="n">
        <v>0</v>
      </c>
      <c r="AP230" t="n">
        <v>0</v>
      </c>
      <c r="AQ230" t="n">
        <v>0</v>
      </c>
      <c r="AR230" t="inlineStr">
        <is>
          <t>No</t>
        </is>
      </c>
      <c r="AS230" t="inlineStr">
        <is>
          <t>Yes</t>
        </is>
      </c>
      <c r="AT230">
        <f>HYPERLINK("http://catalog.hathitrust.org/Record/002566895","HathiTrust Record")</f>
        <v/>
      </c>
      <c r="AU230">
        <f>HYPERLINK("https://creighton-primo.hosted.exlibrisgroup.com/primo-explore/search?tab=default_tab&amp;search_scope=EVERYTHING&amp;vid=01CRU&amp;lang=en_US&amp;offset=0&amp;query=any,contains,991001477769702656","Catalog Record")</f>
        <v/>
      </c>
      <c r="AV230">
        <f>HYPERLINK("http://www.worldcat.org/oclc/28510746","WorldCat Record")</f>
        <v/>
      </c>
      <c r="AW230" t="inlineStr">
        <is>
          <t>30469998:eng</t>
        </is>
      </c>
      <c r="AX230" t="inlineStr">
        <is>
          <t>28510746</t>
        </is>
      </c>
      <c r="AY230" t="inlineStr">
        <is>
          <t>991001477769702656</t>
        </is>
      </c>
      <c r="AZ230" t="inlineStr">
        <is>
          <t>991001477769702656</t>
        </is>
      </c>
      <c r="BA230" t="inlineStr">
        <is>
          <t>2265751510002656</t>
        </is>
      </c>
      <c r="BB230" t="inlineStr">
        <is>
          <t>BOOK</t>
        </is>
      </c>
      <c r="BE230" t="inlineStr">
        <is>
          <t>30001002564039</t>
        </is>
      </c>
      <c r="BF230" t="inlineStr">
        <is>
          <t>893377292</t>
        </is>
      </c>
    </row>
    <row r="231">
      <c r="A231" t="inlineStr">
        <is>
          <t>No</t>
        </is>
      </c>
      <c r="B231" t="inlineStr">
        <is>
          <t>CUHSL</t>
        </is>
      </c>
      <c r="C231" t="inlineStr">
        <is>
          <t>SHELVES</t>
        </is>
      </c>
      <c r="D231" t="inlineStr">
        <is>
          <t>W 21 B787s 1985</t>
        </is>
      </c>
      <c r="E231" t="inlineStr">
        <is>
          <t>0                      W  0021000B  787s        1985</t>
        </is>
      </c>
      <c r="F231" t="inlineStr">
        <is>
          <t>Stress and women physicians / Marjorie A. Bowman, Deborah I. Allen.</t>
        </is>
      </c>
      <c r="H231" t="inlineStr">
        <is>
          <t>No</t>
        </is>
      </c>
      <c r="I231" t="inlineStr">
        <is>
          <t>1</t>
        </is>
      </c>
      <c r="J231" t="inlineStr">
        <is>
          <t>No</t>
        </is>
      </c>
      <c r="K231" t="inlineStr">
        <is>
          <t>No</t>
        </is>
      </c>
      <c r="L231" t="inlineStr">
        <is>
          <t>0</t>
        </is>
      </c>
      <c r="M231" t="inlineStr">
        <is>
          <t>Bowman, Marjorie A.</t>
        </is>
      </c>
      <c r="N231" t="inlineStr">
        <is>
          <t>New York : Springer-Verlag, c1985.</t>
        </is>
      </c>
      <c r="O231" t="inlineStr">
        <is>
          <t>1985</t>
        </is>
      </c>
      <c r="Q231" t="inlineStr">
        <is>
          <t>eng</t>
        </is>
      </c>
      <c r="R231" t="inlineStr">
        <is>
          <t>xxu</t>
        </is>
      </c>
      <c r="T231" t="inlineStr">
        <is>
          <t xml:space="preserve">W  </t>
        </is>
      </c>
      <c r="U231" t="n">
        <v>13</v>
      </c>
      <c r="V231" t="n">
        <v>13</v>
      </c>
      <c r="W231" t="inlineStr">
        <is>
          <t>2004-02-09</t>
        </is>
      </c>
      <c r="X231" t="inlineStr">
        <is>
          <t>2004-02-09</t>
        </is>
      </c>
      <c r="Y231" t="inlineStr">
        <is>
          <t>1987-10-01</t>
        </is>
      </c>
      <c r="Z231" t="inlineStr">
        <is>
          <t>1987-10-01</t>
        </is>
      </c>
      <c r="AA231" t="n">
        <v>199</v>
      </c>
      <c r="AB231" t="n">
        <v>158</v>
      </c>
      <c r="AC231" t="n">
        <v>259</v>
      </c>
      <c r="AD231" t="n">
        <v>2</v>
      </c>
      <c r="AE231" t="n">
        <v>2</v>
      </c>
      <c r="AF231" t="n">
        <v>5</v>
      </c>
      <c r="AG231" t="n">
        <v>8</v>
      </c>
      <c r="AH231" t="n">
        <v>1</v>
      </c>
      <c r="AI231" t="n">
        <v>1</v>
      </c>
      <c r="AJ231" t="n">
        <v>1</v>
      </c>
      <c r="AK231" t="n">
        <v>2</v>
      </c>
      <c r="AL231" t="n">
        <v>4</v>
      </c>
      <c r="AM231" t="n">
        <v>7</v>
      </c>
      <c r="AN231" t="n">
        <v>1</v>
      </c>
      <c r="AO231" t="n">
        <v>1</v>
      </c>
      <c r="AP231" t="n">
        <v>0</v>
      </c>
      <c r="AQ231" t="n">
        <v>0</v>
      </c>
      <c r="AR231" t="inlineStr">
        <is>
          <t>No</t>
        </is>
      </c>
      <c r="AS231" t="inlineStr">
        <is>
          <t>Yes</t>
        </is>
      </c>
      <c r="AT231">
        <f>HYPERLINK("http://catalog.hathitrust.org/Record/000418047","HathiTrust Record")</f>
        <v/>
      </c>
      <c r="AU231">
        <f>HYPERLINK("https://creighton-primo.hosted.exlibrisgroup.com/primo-explore/search?tab=default_tab&amp;search_scope=EVERYTHING&amp;vid=01CRU&amp;lang=en_US&amp;offset=0&amp;query=any,contains,991001177019702656","Catalog Record")</f>
        <v/>
      </c>
      <c r="AV231">
        <f>HYPERLINK("http://www.worldcat.org/oclc/11623382","WorldCat Record")</f>
        <v/>
      </c>
      <c r="AW231" t="inlineStr">
        <is>
          <t>4467903:eng</t>
        </is>
      </c>
      <c r="AX231" t="inlineStr">
        <is>
          <t>11623382</t>
        </is>
      </c>
      <c r="AY231" t="inlineStr">
        <is>
          <t>991001177019702656</t>
        </is>
      </c>
      <c r="AZ231" t="inlineStr">
        <is>
          <t>991001177019702656</t>
        </is>
      </c>
      <c r="BA231" t="inlineStr">
        <is>
          <t>2258255550002656</t>
        </is>
      </c>
      <c r="BB231" t="inlineStr">
        <is>
          <t>BOOK</t>
        </is>
      </c>
      <c r="BD231" t="inlineStr">
        <is>
          <t>9780387961170</t>
        </is>
      </c>
      <c r="BE231" t="inlineStr">
        <is>
          <t>30001000308165</t>
        </is>
      </c>
      <c r="BF231" t="inlineStr">
        <is>
          <t>893467839</t>
        </is>
      </c>
    </row>
    <row r="232">
      <c r="A232" t="inlineStr">
        <is>
          <t>No</t>
        </is>
      </c>
      <c r="B232" t="inlineStr">
        <is>
          <t>CUHSL</t>
        </is>
      </c>
      <c r="C232" t="inlineStr">
        <is>
          <t>SHELVES</t>
        </is>
      </c>
      <c r="D232" t="inlineStr">
        <is>
          <t>W 21 C363p 1882F</t>
        </is>
      </c>
      <c r="E232" t="inlineStr">
        <is>
          <t>0                      W  0021000C  363p        1882F</t>
        </is>
      </c>
      <c r="F232" t="inlineStr">
        <is>
          <t>The physician himself : and what he should add to his scientific acquirements / by D. W. Cathell.</t>
        </is>
      </c>
      <c r="H232" t="inlineStr">
        <is>
          <t>No</t>
        </is>
      </c>
      <c r="I232" t="inlineStr">
        <is>
          <t>1</t>
        </is>
      </c>
      <c r="J232" t="inlineStr">
        <is>
          <t>No</t>
        </is>
      </c>
      <c r="K232" t="inlineStr">
        <is>
          <t>No</t>
        </is>
      </c>
      <c r="L232" t="inlineStr">
        <is>
          <t>0</t>
        </is>
      </c>
      <c r="M232" t="inlineStr">
        <is>
          <t>Cathell, D. W. (Daniel Webster), 1839-1925.</t>
        </is>
      </c>
      <c r="N232" t="inlineStr">
        <is>
          <t>-- New York : Arno Press, 1972.</t>
        </is>
      </c>
      <c r="O232" t="inlineStr">
        <is>
          <t>1972</t>
        </is>
      </c>
      <c r="Q232" t="inlineStr">
        <is>
          <t>eng</t>
        </is>
      </c>
      <c r="R232" t="inlineStr">
        <is>
          <t>nyu</t>
        </is>
      </c>
      <c r="S232" t="inlineStr">
        <is>
          <t>Medicine &amp; society in America</t>
        </is>
      </c>
      <c r="T232" t="inlineStr">
        <is>
          <t xml:space="preserve">W  </t>
        </is>
      </c>
      <c r="U232" t="n">
        <v>2</v>
      </c>
      <c r="V232" t="n">
        <v>2</v>
      </c>
      <c r="W232" t="inlineStr">
        <is>
          <t>1990-01-17</t>
        </is>
      </c>
      <c r="X232" t="inlineStr">
        <is>
          <t>1990-01-17</t>
        </is>
      </c>
      <c r="Y232" t="inlineStr">
        <is>
          <t>1987-10-01</t>
        </is>
      </c>
      <c r="Z232" t="inlineStr">
        <is>
          <t>1987-10-01</t>
        </is>
      </c>
      <c r="AA232" t="n">
        <v>82</v>
      </c>
      <c r="AB232" t="n">
        <v>74</v>
      </c>
      <c r="AC232" t="n">
        <v>155</v>
      </c>
      <c r="AD232" t="n">
        <v>1</v>
      </c>
      <c r="AE232" t="n">
        <v>1</v>
      </c>
      <c r="AF232" t="n">
        <v>2</v>
      </c>
      <c r="AG232" t="n">
        <v>4</v>
      </c>
      <c r="AH232" t="n">
        <v>0</v>
      </c>
      <c r="AI232" t="n">
        <v>0</v>
      </c>
      <c r="AJ232" t="n">
        <v>1</v>
      </c>
      <c r="AK232" t="n">
        <v>1</v>
      </c>
      <c r="AL232" t="n">
        <v>1</v>
      </c>
      <c r="AM232" t="n">
        <v>3</v>
      </c>
      <c r="AN232" t="n">
        <v>0</v>
      </c>
      <c r="AO232" t="n">
        <v>0</v>
      </c>
      <c r="AP232" t="n">
        <v>0</v>
      </c>
      <c r="AQ232" t="n">
        <v>0</v>
      </c>
      <c r="AR232" t="inlineStr">
        <is>
          <t>No</t>
        </is>
      </c>
      <c r="AS232" t="inlineStr">
        <is>
          <t>Yes</t>
        </is>
      </c>
      <c r="AT232">
        <f>HYPERLINK("http://catalog.hathitrust.org/Record/000693632","HathiTrust Record")</f>
        <v/>
      </c>
      <c r="AU232">
        <f>HYPERLINK("https://creighton-primo.hosted.exlibrisgroup.com/primo-explore/search?tab=default_tab&amp;search_scope=EVERYTHING&amp;vid=01CRU&amp;lang=en_US&amp;offset=0&amp;query=any,contains,991001176979702656","Catalog Record")</f>
        <v/>
      </c>
      <c r="AV232">
        <f>HYPERLINK("http://www.worldcat.org/oclc/340277","WorldCat Record")</f>
        <v/>
      </c>
      <c r="AW232" t="inlineStr">
        <is>
          <t>3686656:eng</t>
        </is>
      </c>
      <c r="AX232" t="inlineStr">
        <is>
          <t>340277</t>
        </is>
      </c>
      <c r="AY232" t="inlineStr">
        <is>
          <t>991001176979702656</t>
        </is>
      </c>
      <c r="AZ232" t="inlineStr">
        <is>
          <t>991001176979702656</t>
        </is>
      </c>
      <c r="BA232" t="inlineStr">
        <is>
          <t>2262547180002656</t>
        </is>
      </c>
      <c r="BB232" t="inlineStr">
        <is>
          <t>BOOK</t>
        </is>
      </c>
      <c r="BD232" t="inlineStr">
        <is>
          <t>9780405039416</t>
        </is>
      </c>
      <c r="BE232" t="inlineStr">
        <is>
          <t>30001000308157</t>
        </is>
      </c>
      <c r="BF232" t="inlineStr">
        <is>
          <t>893148943</t>
        </is>
      </c>
    </row>
    <row r="233">
      <c r="A233" t="inlineStr">
        <is>
          <t>No</t>
        </is>
      </c>
      <c r="B233" t="inlineStr">
        <is>
          <t>CUHSL</t>
        </is>
      </c>
      <c r="C233" t="inlineStr">
        <is>
          <t>SHELVES</t>
        </is>
      </c>
      <c r="D233" t="inlineStr">
        <is>
          <t>W 21 C676n 1968</t>
        </is>
      </c>
      <c r="E233" t="inlineStr">
        <is>
          <t>0                      W  0021000C  676n        1968</t>
        </is>
      </c>
      <c r="F233" t="inlineStr">
        <is>
          <t>Negroes for medicine; report of a Macy conference. Edited by Lee Cogan.</t>
        </is>
      </c>
      <c r="H233" t="inlineStr">
        <is>
          <t>No</t>
        </is>
      </c>
      <c r="I233" t="inlineStr">
        <is>
          <t>1</t>
        </is>
      </c>
      <c r="J233" t="inlineStr">
        <is>
          <t>No</t>
        </is>
      </c>
      <c r="K233" t="inlineStr">
        <is>
          <t>No</t>
        </is>
      </c>
      <c r="L233" t="inlineStr">
        <is>
          <t>0</t>
        </is>
      </c>
      <c r="M233" t="inlineStr">
        <is>
          <t>Macy Conference on Negroes for Medicine (1967 : Fort Lauderdale, Fla.)</t>
        </is>
      </c>
      <c r="N233" t="inlineStr">
        <is>
          <t>Baltimore : Published for the Josiah Macy, Jr., Foundation by the Johns Hopkins Press, c1968</t>
        </is>
      </c>
      <c r="O233" t="inlineStr">
        <is>
          <t>1968</t>
        </is>
      </c>
      <c r="Q233" t="inlineStr">
        <is>
          <t>eng</t>
        </is>
      </c>
      <c r="R233" t="inlineStr">
        <is>
          <t>mdu</t>
        </is>
      </c>
      <c r="T233" t="inlineStr">
        <is>
          <t xml:space="preserve">W  </t>
        </is>
      </c>
      <c r="U233" t="n">
        <v>8</v>
      </c>
      <c r="V233" t="n">
        <v>8</v>
      </c>
      <c r="W233" t="inlineStr">
        <is>
          <t>1995-09-18</t>
        </is>
      </c>
      <c r="X233" t="inlineStr">
        <is>
          <t>1995-09-18</t>
        </is>
      </c>
      <c r="Y233" t="inlineStr">
        <is>
          <t>1987-10-08</t>
        </is>
      </c>
      <c r="Z233" t="inlineStr">
        <is>
          <t>1987-10-08</t>
        </is>
      </c>
      <c r="AA233" t="n">
        <v>352</v>
      </c>
      <c r="AB233" t="n">
        <v>331</v>
      </c>
      <c r="AC233" t="n">
        <v>336</v>
      </c>
      <c r="AD233" t="n">
        <v>1</v>
      </c>
      <c r="AE233" t="n">
        <v>1</v>
      </c>
      <c r="AF233" t="n">
        <v>7</v>
      </c>
      <c r="AG233" t="n">
        <v>7</v>
      </c>
      <c r="AH233" t="n">
        <v>2</v>
      </c>
      <c r="AI233" t="n">
        <v>2</v>
      </c>
      <c r="AJ233" t="n">
        <v>2</v>
      </c>
      <c r="AK233" t="n">
        <v>2</v>
      </c>
      <c r="AL233" t="n">
        <v>5</v>
      </c>
      <c r="AM233" t="n">
        <v>5</v>
      </c>
      <c r="AN233" t="n">
        <v>0</v>
      </c>
      <c r="AO233" t="n">
        <v>0</v>
      </c>
      <c r="AP233" t="n">
        <v>0</v>
      </c>
      <c r="AQ233" t="n">
        <v>0</v>
      </c>
      <c r="AR233" t="inlineStr">
        <is>
          <t>No</t>
        </is>
      </c>
      <c r="AS233" t="inlineStr">
        <is>
          <t>Yes</t>
        </is>
      </c>
      <c r="AT233">
        <f>HYPERLINK("http://catalog.hathitrust.org/Record/001557733","HathiTrust Record")</f>
        <v/>
      </c>
      <c r="AU233">
        <f>HYPERLINK("https://creighton-primo.hosted.exlibrisgroup.com/primo-explore/search?tab=default_tab&amp;search_scope=EVERYTHING&amp;vid=01CRU&amp;lang=en_US&amp;offset=0&amp;query=any,contains,991001176739702656","Catalog Record")</f>
        <v/>
      </c>
      <c r="AV233">
        <f>HYPERLINK("http://www.worldcat.org/oclc/2197","WorldCat Record")</f>
        <v/>
      </c>
      <c r="AW233" t="inlineStr">
        <is>
          <t>1125473:eng</t>
        </is>
      </c>
      <c r="AX233" t="inlineStr">
        <is>
          <t>2197</t>
        </is>
      </c>
      <c r="AY233" t="inlineStr">
        <is>
          <t>991001176739702656</t>
        </is>
      </c>
      <c r="AZ233" t="inlineStr">
        <is>
          <t>991001176739702656</t>
        </is>
      </c>
      <c r="BA233" t="inlineStr">
        <is>
          <t>2262713750002656</t>
        </is>
      </c>
      <c r="BB233" t="inlineStr">
        <is>
          <t>BOOK</t>
        </is>
      </c>
      <c r="BE233" t="inlineStr">
        <is>
          <t>30001000308124</t>
        </is>
      </c>
      <c r="BF233" t="inlineStr">
        <is>
          <t>893278838</t>
        </is>
      </c>
    </row>
    <row r="234">
      <c r="A234" t="inlineStr">
        <is>
          <t>No</t>
        </is>
      </c>
      <c r="B234" t="inlineStr">
        <is>
          <t>CUHSL</t>
        </is>
      </c>
      <c r="C234" t="inlineStr">
        <is>
          <t>SHELVES</t>
        </is>
      </c>
      <c r="D234" t="inlineStr">
        <is>
          <t>W21 D68a 1998</t>
        </is>
      </c>
      <c r="E234" t="inlineStr">
        <is>
          <t>0                      W  0021000D  68a         1998</t>
        </is>
      </c>
      <c r="F234" t="inlineStr">
        <is>
          <t>Assessing your career options : a workbook for taking charge of change / by Donald L. Double.</t>
        </is>
      </c>
      <c r="H234" t="inlineStr">
        <is>
          <t>No</t>
        </is>
      </c>
      <c r="I234" t="inlineStr">
        <is>
          <t>1</t>
        </is>
      </c>
      <c r="J234" t="inlineStr">
        <is>
          <t>No</t>
        </is>
      </c>
      <c r="K234" t="inlineStr">
        <is>
          <t>No</t>
        </is>
      </c>
      <c r="L234" t="inlineStr">
        <is>
          <t>0</t>
        </is>
      </c>
      <c r="M234" t="inlineStr">
        <is>
          <t>Double, Don L.</t>
        </is>
      </c>
      <c r="N234" t="inlineStr">
        <is>
          <t>Chicago, Ill. : American Medical Association, c1998.</t>
        </is>
      </c>
      <c r="O234" t="inlineStr">
        <is>
          <t>1998</t>
        </is>
      </c>
      <c r="Q234" t="inlineStr">
        <is>
          <t>eng</t>
        </is>
      </c>
      <c r="R234" t="inlineStr">
        <is>
          <t>ilu</t>
        </is>
      </c>
      <c r="T234" t="inlineStr">
        <is>
          <t xml:space="preserve">W  </t>
        </is>
      </c>
      <c r="U234" t="n">
        <v>3</v>
      </c>
      <c r="V234" t="n">
        <v>3</v>
      </c>
      <c r="W234" t="inlineStr">
        <is>
          <t>2004-02-09</t>
        </is>
      </c>
      <c r="X234" t="inlineStr">
        <is>
          <t>2004-02-09</t>
        </is>
      </c>
      <c r="Y234" t="inlineStr">
        <is>
          <t>2002-07-08</t>
        </is>
      </c>
      <c r="Z234" t="inlineStr">
        <is>
          <t>2002-07-08</t>
        </is>
      </c>
      <c r="AA234" t="n">
        <v>45</v>
      </c>
      <c r="AB234" t="n">
        <v>44</v>
      </c>
      <c r="AC234" t="n">
        <v>47</v>
      </c>
      <c r="AD234" t="n">
        <v>1</v>
      </c>
      <c r="AE234" t="n">
        <v>1</v>
      </c>
      <c r="AF234" t="n">
        <v>1</v>
      </c>
      <c r="AG234" t="n">
        <v>1</v>
      </c>
      <c r="AH234" t="n">
        <v>0</v>
      </c>
      <c r="AI234" t="n">
        <v>0</v>
      </c>
      <c r="AJ234" t="n">
        <v>1</v>
      </c>
      <c r="AK234" t="n">
        <v>1</v>
      </c>
      <c r="AL234" t="n">
        <v>0</v>
      </c>
      <c r="AM234" t="n">
        <v>0</v>
      </c>
      <c r="AN234" t="n">
        <v>0</v>
      </c>
      <c r="AO234" t="n">
        <v>0</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HYPERLINK("https://creighton-primo.hosted.exlibrisgroup.com/primo-explore/search?tab=default_tab&amp;search_scope=EVERYTHING&amp;vid=01CRU&amp;lang=en_US&amp;offset=0&amp;query=any,contains,991000323719702656","Catalog Record")</f>
        <v/>
      </c>
      <c r="AV234">
        <f>HYPERLINK("http://www.worldcat.org/oclc/39650737","WorldCat Record")</f>
        <v/>
      </c>
      <c r="AW234" t="inlineStr">
        <is>
          <t>652741:eng</t>
        </is>
      </c>
      <c r="AX234" t="inlineStr">
        <is>
          <t>39650737</t>
        </is>
      </c>
      <c r="AY234" t="inlineStr">
        <is>
          <t>991000323719702656</t>
        </is>
      </c>
      <c r="AZ234" t="inlineStr">
        <is>
          <t>991000323719702656</t>
        </is>
      </c>
      <c r="BA234" t="inlineStr">
        <is>
          <t>2267568710002656</t>
        </is>
      </c>
      <c r="BB234" t="inlineStr">
        <is>
          <t>BOOK</t>
        </is>
      </c>
      <c r="BD234" t="inlineStr">
        <is>
          <t>9780899708874</t>
        </is>
      </c>
      <c r="BE234" t="inlineStr">
        <is>
          <t>30001004443109</t>
        </is>
      </c>
      <c r="BF234" t="inlineStr">
        <is>
          <t>893136742</t>
        </is>
      </c>
    </row>
    <row r="235">
      <c r="A235" t="inlineStr">
        <is>
          <t>No</t>
        </is>
      </c>
      <c r="B235" t="inlineStr">
        <is>
          <t>CUHSL</t>
        </is>
      </c>
      <c r="C235" t="inlineStr">
        <is>
          <t>SHELVES</t>
        </is>
      </c>
      <c r="D235" t="inlineStr">
        <is>
          <t>W 21 F862p 1970</t>
        </is>
      </c>
      <c r="E235" t="inlineStr">
        <is>
          <t>0                      W  0021000F  862p        1970</t>
        </is>
      </c>
      <c r="F235" t="inlineStr">
        <is>
          <t>Profession of medicine : a study of the sociology of applied knowledge / Eliot Freidson.</t>
        </is>
      </c>
      <c r="H235" t="inlineStr">
        <is>
          <t>No</t>
        </is>
      </c>
      <c r="I235" t="inlineStr">
        <is>
          <t>1</t>
        </is>
      </c>
      <c r="J235" t="inlineStr">
        <is>
          <t>Yes</t>
        </is>
      </c>
      <c r="K235" t="inlineStr">
        <is>
          <t>No</t>
        </is>
      </c>
      <c r="L235" t="inlineStr">
        <is>
          <t>0</t>
        </is>
      </c>
      <c r="M235" t="inlineStr">
        <is>
          <t>Freidson, Eliot, 1923-2005.</t>
        </is>
      </c>
      <c r="N235" t="inlineStr">
        <is>
          <t>New York : Dodd, Mead, c1970.</t>
        </is>
      </c>
      <c r="O235" t="inlineStr">
        <is>
          <t>1970</t>
        </is>
      </c>
      <c r="Q235" t="inlineStr">
        <is>
          <t>eng</t>
        </is>
      </c>
      <c r="R235" t="inlineStr">
        <is>
          <t>nyu</t>
        </is>
      </c>
      <c r="T235" t="inlineStr">
        <is>
          <t xml:space="preserve">W  </t>
        </is>
      </c>
      <c r="U235" t="n">
        <v>7</v>
      </c>
      <c r="V235" t="n">
        <v>7</v>
      </c>
      <c r="W235" t="inlineStr">
        <is>
          <t>2002-04-08</t>
        </is>
      </c>
      <c r="X235" t="inlineStr">
        <is>
          <t>2002-04-08</t>
        </is>
      </c>
      <c r="Y235" t="inlineStr">
        <is>
          <t>1987-10-08</t>
        </is>
      </c>
      <c r="Z235" t="inlineStr">
        <is>
          <t>1987-10-08</t>
        </is>
      </c>
      <c r="AA235" t="n">
        <v>635</v>
      </c>
      <c r="AB235" t="n">
        <v>526</v>
      </c>
      <c r="AC235" t="n">
        <v>632</v>
      </c>
      <c r="AD235" t="n">
        <v>5</v>
      </c>
      <c r="AE235" t="n">
        <v>6</v>
      </c>
      <c r="AF235" t="n">
        <v>27</v>
      </c>
      <c r="AG235" t="n">
        <v>33</v>
      </c>
      <c r="AH235" t="n">
        <v>9</v>
      </c>
      <c r="AI235" t="n">
        <v>10</v>
      </c>
      <c r="AJ235" t="n">
        <v>3</v>
      </c>
      <c r="AK235" t="n">
        <v>5</v>
      </c>
      <c r="AL235" t="n">
        <v>15</v>
      </c>
      <c r="AM235" t="n">
        <v>20</v>
      </c>
      <c r="AN235" t="n">
        <v>3</v>
      </c>
      <c r="AO235" t="n">
        <v>4</v>
      </c>
      <c r="AP235" t="n">
        <v>2</v>
      </c>
      <c r="AQ235" t="n">
        <v>2</v>
      </c>
      <c r="AR235" t="inlineStr">
        <is>
          <t>No</t>
        </is>
      </c>
      <c r="AS235" t="inlineStr">
        <is>
          <t>Yes</t>
        </is>
      </c>
      <c r="AT235">
        <f>HYPERLINK("http://catalog.hathitrust.org/Record/000172526","HathiTrust Record")</f>
        <v/>
      </c>
      <c r="AU235">
        <f>HYPERLINK("https://creighton-primo.hosted.exlibrisgroup.com/primo-explore/search?tab=default_tab&amp;search_scope=EVERYTHING&amp;vid=01CRU&amp;lang=en_US&amp;offset=0&amp;query=any,contains,991001176709702656","Catalog Record")</f>
        <v/>
      </c>
      <c r="AV235">
        <f>HYPERLINK("http://www.worldcat.org/oclc/73764","WorldCat Record")</f>
        <v/>
      </c>
      <c r="AW235" t="inlineStr">
        <is>
          <t>47543200:eng</t>
        </is>
      </c>
      <c r="AX235" t="inlineStr">
        <is>
          <t>73764</t>
        </is>
      </c>
      <c r="AY235" t="inlineStr">
        <is>
          <t>991001176709702656</t>
        </is>
      </c>
      <c r="AZ235" t="inlineStr">
        <is>
          <t>991001176709702656</t>
        </is>
      </c>
      <c r="BA235" t="inlineStr">
        <is>
          <t>2269984280002656</t>
        </is>
      </c>
      <c r="BB235" t="inlineStr">
        <is>
          <t>BOOK</t>
        </is>
      </c>
      <c r="BE235" t="inlineStr">
        <is>
          <t>30001000308116</t>
        </is>
      </c>
      <c r="BF235" t="inlineStr">
        <is>
          <t>893268181</t>
        </is>
      </c>
    </row>
    <row r="236">
      <c r="A236" t="inlineStr">
        <is>
          <t>No</t>
        </is>
      </c>
      <c r="B236" t="inlineStr">
        <is>
          <t>CUHSL</t>
        </is>
      </c>
      <c r="C236" t="inlineStr">
        <is>
          <t>SHELVES</t>
        </is>
      </c>
      <c r="D236" t="inlineStr">
        <is>
          <t>W 21 G788 1972</t>
        </is>
      </c>
      <c r="E236" t="inlineStr">
        <is>
          <t>0                      W  0021000G  788         1972</t>
        </is>
      </c>
      <c r="F236" t="inlineStr">
        <is>
          <t>The Greater medical profession : report of a symposium sponsored jointly by the Royal Society of Medicine and the Josiah Macy, Jr. Foundation.</t>
        </is>
      </c>
      <c r="H236" t="inlineStr">
        <is>
          <t>No</t>
        </is>
      </c>
      <c r="I236" t="inlineStr">
        <is>
          <t>1</t>
        </is>
      </c>
      <c r="J236" t="inlineStr">
        <is>
          <t>No</t>
        </is>
      </c>
      <c r="K236" t="inlineStr">
        <is>
          <t>No</t>
        </is>
      </c>
      <c r="L236" t="inlineStr">
        <is>
          <t>0</t>
        </is>
      </c>
      <c r="N236" t="inlineStr">
        <is>
          <t>New York : Josiah Macy, Jr. Foundation, c1973.</t>
        </is>
      </c>
      <c r="O236" t="inlineStr">
        <is>
          <t>1973</t>
        </is>
      </c>
      <c r="Q236" t="inlineStr">
        <is>
          <t>eng</t>
        </is>
      </c>
      <c r="R236" t="inlineStr">
        <is>
          <t>nyu</t>
        </is>
      </c>
      <c r="T236" t="inlineStr">
        <is>
          <t xml:space="preserve">W  </t>
        </is>
      </c>
      <c r="U236" t="n">
        <v>1</v>
      </c>
      <c r="V236" t="n">
        <v>1</v>
      </c>
      <c r="W236" t="inlineStr">
        <is>
          <t>1996-04-29</t>
        </is>
      </c>
      <c r="X236" t="inlineStr">
        <is>
          <t>1996-04-29</t>
        </is>
      </c>
      <c r="Y236" t="inlineStr">
        <is>
          <t>1987-10-08</t>
        </is>
      </c>
      <c r="Z236" t="inlineStr">
        <is>
          <t>1987-10-08</t>
        </is>
      </c>
      <c r="AA236" t="n">
        <v>114</v>
      </c>
      <c r="AB236" t="n">
        <v>99</v>
      </c>
      <c r="AC236" t="n">
        <v>102</v>
      </c>
      <c r="AD236" t="n">
        <v>2</v>
      </c>
      <c r="AE236" t="n">
        <v>2</v>
      </c>
      <c r="AF236" t="n">
        <v>4</v>
      </c>
      <c r="AG236" t="n">
        <v>4</v>
      </c>
      <c r="AH236" t="n">
        <v>0</v>
      </c>
      <c r="AI236" t="n">
        <v>0</v>
      </c>
      <c r="AJ236" t="n">
        <v>1</v>
      </c>
      <c r="AK236" t="n">
        <v>1</v>
      </c>
      <c r="AL236" t="n">
        <v>3</v>
      </c>
      <c r="AM236" t="n">
        <v>3</v>
      </c>
      <c r="AN236" t="n">
        <v>1</v>
      </c>
      <c r="AO236" t="n">
        <v>1</v>
      </c>
      <c r="AP236" t="n">
        <v>0</v>
      </c>
      <c r="AQ236" t="n">
        <v>0</v>
      </c>
      <c r="AR236" t="inlineStr">
        <is>
          <t>No</t>
        </is>
      </c>
      <c r="AS236" t="inlineStr">
        <is>
          <t>Yes</t>
        </is>
      </c>
      <c r="AT236">
        <f>HYPERLINK("http://catalog.hathitrust.org/Record/001577179","HathiTrust Record")</f>
        <v/>
      </c>
      <c r="AU236">
        <f>HYPERLINK("https://creighton-primo.hosted.exlibrisgroup.com/primo-explore/search?tab=default_tab&amp;search_scope=EVERYTHING&amp;vid=01CRU&amp;lang=en_US&amp;offset=0&amp;query=any,contains,991001176649702656","Catalog Record")</f>
        <v/>
      </c>
      <c r="AV236">
        <f>HYPERLINK("http://www.worldcat.org/oclc/695839","WorldCat Record")</f>
        <v/>
      </c>
      <c r="AW236" t="inlineStr">
        <is>
          <t>1813500:eng</t>
        </is>
      </c>
      <c r="AX236" t="inlineStr">
        <is>
          <t>695839</t>
        </is>
      </c>
      <c r="AY236" t="inlineStr">
        <is>
          <t>991001176649702656</t>
        </is>
      </c>
      <c r="AZ236" t="inlineStr">
        <is>
          <t>991001176649702656</t>
        </is>
      </c>
      <c r="BA236" t="inlineStr">
        <is>
          <t>2267878720002656</t>
        </is>
      </c>
      <c r="BB236" t="inlineStr">
        <is>
          <t>BOOK</t>
        </is>
      </c>
      <c r="BE236" t="inlineStr">
        <is>
          <t>30001000308108</t>
        </is>
      </c>
      <c r="BF236" t="inlineStr">
        <is>
          <t>893268180</t>
        </is>
      </c>
    </row>
    <row r="237">
      <c r="A237" t="inlineStr">
        <is>
          <t>No</t>
        </is>
      </c>
      <c r="B237" t="inlineStr">
        <is>
          <t>CUHSL</t>
        </is>
      </c>
      <c r="C237" t="inlineStr">
        <is>
          <t>SHELVES</t>
        </is>
      </c>
      <c r="D237" t="inlineStr">
        <is>
          <t>W 21 G819f 1967</t>
        </is>
      </c>
      <c r="E237" t="inlineStr">
        <is>
          <t>0                      W  0021000G  819f        1967</t>
        </is>
      </c>
      <c r="F237" t="inlineStr">
        <is>
          <t>For future doctors / by Alan Gregg.</t>
        </is>
      </c>
      <c r="H237" t="inlineStr">
        <is>
          <t>No</t>
        </is>
      </c>
      <c r="I237" t="inlineStr">
        <is>
          <t>1</t>
        </is>
      </c>
      <c r="J237" t="inlineStr">
        <is>
          <t>No</t>
        </is>
      </c>
      <c r="K237" t="inlineStr">
        <is>
          <t>Yes</t>
        </is>
      </c>
      <c r="L237" t="inlineStr">
        <is>
          <t>0</t>
        </is>
      </c>
      <c r="M237" t="inlineStr">
        <is>
          <t>Gregg, Alan, 1890-1957.</t>
        </is>
      </c>
      <c r="N237" t="inlineStr">
        <is>
          <t>Chicago : Univ. of Chicago Press, 1963, c1957.</t>
        </is>
      </c>
      <c r="O237" t="inlineStr">
        <is>
          <t>1963</t>
        </is>
      </c>
      <c r="Q237" t="inlineStr">
        <is>
          <t>eng</t>
        </is>
      </c>
      <c r="R237" t="inlineStr">
        <is>
          <t>ilu</t>
        </is>
      </c>
      <c r="T237" t="inlineStr">
        <is>
          <t xml:space="preserve">W  </t>
        </is>
      </c>
      <c r="U237" t="n">
        <v>2</v>
      </c>
      <c r="V237" t="n">
        <v>2</v>
      </c>
      <c r="W237" t="inlineStr">
        <is>
          <t>2001-03-06</t>
        </is>
      </c>
      <c r="X237" t="inlineStr">
        <is>
          <t>2001-03-06</t>
        </is>
      </c>
      <c r="Y237" t="inlineStr">
        <is>
          <t>1987-10-01</t>
        </is>
      </c>
      <c r="Z237" t="inlineStr">
        <is>
          <t>1987-10-01</t>
        </is>
      </c>
      <c r="AA237" t="n">
        <v>24</v>
      </c>
      <c r="AB237" t="n">
        <v>20</v>
      </c>
      <c r="AC237" t="n">
        <v>258</v>
      </c>
      <c r="AD237" t="n">
        <v>1</v>
      </c>
      <c r="AE237" t="n">
        <v>2</v>
      </c>
      <c r="AF237" t="n">
        <v>0</v>
      </c>
      <c r="AG237" t="n">
        <v>8</v>
      </c>
      <c r="AH237" t="n">
        <v>0</v>
      </c>
      <c r="AI237" t="n">
        <v>4</v>
      </c>
      <c r="AJ237" t="n">
        <v>0</v>
      </c>
      <c r="AK237" t="n">
        <v>1</v>
      </c>
      <c r="AL237" t="n">
        <v>0</v>
      </c>
      <c r="AM237" t="n">
        <v>4</v>
      </c>
      <c r="AN237" t="n">
        <v>0</v>
      </c>
      <c r="AO237" t="n">
        <v>1</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HYPERLINK("https://creighton-primo.hosted.exlibrisgroup.com/primo-explore/search?tab=default_tab&amp;search_scope=EVERYTHING&amp;vid=01CRU&amp;lang=en_US&amp;offset=0&amp;query=any,contains,991001176539702656","Catalog Record")</f>
        <v/>
      </c>
      <c r="AV237">
        <f>HYPERLINK("http://www.worldcat.org/oclc/3074944","WorldCat Record")</f>
        <v/>
      </c>
      <c r="AW237" t="inlineStr">
        <is>
          <t>7625854:eng</t>
        </is>
      </c>
      <c r="AX237" t="inlineStr">
        <is>
          <t>3074944</t>
        </is>
      </c>
      <c r="AY237" t="inlineStr">
        <is>
          <t>991001176539702656</t>
        </is>
      </c>
      <c r="AZ237" t="inlineStr">
        <is>
          <t>991001176539702656</t>
        </is>
      </c>
      <c r="BA237" t="inlineStr">
        <is>
          <t>2266369040002656</t>
        </is>
      </c>
      <c r="BB237" t="inlineStr">
        <is>
          <t>BOOK</t>
        </is>
      </c>
      <c r="BE237" t="inlineStr">
        <is>
          <t>30001000308074</t>
        </is>
      </c>
      <c r="BF237" t="inlineStr">
        <is>
          <t>893816170</t>
        </is>
      </c>
    </row>
    <row r="238">
      <c r="A238" t="inlineStr">
        <is>
          <t>No</t>
        </is>
      </c>
      <c r="B238" t="inlineStr">
        <is>
          <t>CUHSL</t>
        </is>
      </c>
      <c r="C238" t="inlineStr">
        <is>
          <t>SHELVES</t>
        </is>
      </c>
      <c r="D238" t="inlineStr">
        <is>
          <t>W21 H292c 2006</t>
        </is>
      </c>
      <c r="E238" t="inlineStr">
        <is>
          <t>0                      W  0021000H  292c        2006</t>
        </is>
      </c>
      <c r="F238" t="inlineStr">
        <is>
          <t>Career development for health professionals : success in school and on the job / Lee Haroun.</t>
        </is>
      </c>
      <c r="H238" t="inlineStr">
        <is>
          <t>No</t>
        </is>
      </c>
      <c r="I238" t="inlineStr">
        <is>
          <t>1</t>
        </is>
      </c>
      <c r="J238" t="inlineStr">
        <is>
          <t>No</t>
        </is>
      </c>
      <c r="K238" t="inlineStr">
        <is>
          <t>No</t>
        </is>
      </c>
      <c r="L238" t="inlineStr">
        <is>
          <t>0</t>
        </is>
      </c>
      <c r="M238" t="inlineStr">
        <is>
          <t>Haroun, Lee.</t>
        </is>
      </c>
      <c r="N238" t="inlineStr">
        <is>
          <t>St. Louis, Mo. : Saunders Elsevier, c2006.</t>
        </is>
      </c>
      <c r="O238" t="inlineStr">
        <is>
          <t>2006</t>
        </is>
      </c>
      <c r="P238" t="inlineStr">
        <is>
          <t>2nd ed.</t>
        </is>
      </c>
      <c r="Q238" t="inlineStr">
        <is>
          <t>eng</t>
        </is>
      </c>
      <c r="R238" t="inlineStr">
        <is>
          <t>mou</t>
        </is>
      </c>
      <c r="T238" t="inlineStr">
        <is>
          <t xml:space="preserve">W  </t>
        </is>
      </c>
      <c r="U238" t="n">
        <v>1</v>
      </c>
      <c r="V238" t="n">
        <v>1</v>
      </c>
      <c r="W238" t="inlineStr">
        <is>
          <t>2008-08-27</t>
        </is>
      </c>
      <c r="X238" t="inlineStr">
        <is>
          <t>2008-08-27</t>
        </is>
      </c>
      <c r="Y238" t="inlineStr">
        <is>
          <t>2005-11-01</t>
        </is>
      </c>
      <c r="Z238" t="inlineStr">
        <is>
          <t>2005-11-01</t>
        </is>
      </c>
      <c r="AA238" t="n">
        <v>138</v>
      </c>
      <c r="AB238" t="n">
        <v>105</v>
      </c>
      <c r="AC238" t="n">
        <v>293</v>
      </c>
      <c r="AD238" t="n">
        <v>1</v>
      </c>
      <c r="AE238" t="n">
        <v>2</v>
      </c>
      <c r="AF238" t="n">
        <v>1</v>
      </c>
      <c r="AG238" t="n">
        <v>4</v>
      </c>
      <c r="AH238" t="n">
        <v>0</v>
      </c>
      <c r="AI238" t="n">
        <v>0</v>
      </c>
      <c r="AJ238" t="n">
        <v>1</v>
      </c>
      <c r="AK238" t="n">
        <v>1</v>
      </c>
      <c r="AL238" t="n">
        <v>1</v>
      </c>
      <c r="AM238" t="n">
        <v>3</v>
      </c>
      <c r="AN238" t="n">
        <v>0</v>
      </c>
      <c r="AO238" t="n">
        <v>1</v>
      </c>
      <c r="AP238" t="n">
        <v>0</v>
      </c>
      <c r="AQ238" t="n">
        <v>0</v>
      </c>
      <c r="AR238" t="inlineStr">
        <is>
          <t>No</t>
        </is>
      </c>
      <c r="AS238" t="inlineStr">
        <is>
          <t>No</t>
        </is>
      </c>
      <c r="AU238">
        <f>HYPERLINK("https://creighton-primo.hosted.exlibrisgroup.com/primo-explore/search?tab=default_tab&amp;search_scope=EVERYTHING&amp;vid=01CRU&amp;lang=en_US&amp;offset=0&amp;query=any,contains,991000447099702656","Catalog Record")</f>
        <v/>
      </c>
      <c r="AV238">
        <f>HYPERLINK("http://www.worldcat.org/oclc/61432386","WorldCat Record")</f>
        <v/>
      </c>
      <c r="AW238" t="inlineStr">
        <is>
          <t>36273251:eng</t>
        </is>
      </c>
      <c r="AX238" t="inlineStr">
        <is>
          <t>61432386</t>
        </is>
      </c>
      <c r="AY238" t="inlineStr">
        <is>
          <t>991000447099702656</t>
        </is>
      </c>
      <c r="AZ238" t="inlineStr">
        <is>
          <t>991000447099702656</t>
        </is>
      </c>
      <c r="BA238" t="inlineStr">
        <is>
          <t>2259806700002656</t>
        </is>
      </c>
      <c r="BB238" t="inlineStr">
        <is>
          <t>BOOK</t>
        </is>
      </c>
      <c r="BD238" t="inlineStr">
        <is>
          <t>9780721606095</t>
        </is>
      </c>
      <c r="BE238" t="inlineStr">
        <is>
          <t>30001004914083</t>
        </is>
      </c>
      <c r="BF238" t="inlineStr">
        <is>
          <t>893822181</t>
        </is>
      </c>
    </row>
    <row r="239">
      <c r="A239" t="inlineStr">
        <is>
          <t>No</t>
        </is>
      </c>
      <c r="B239" t="inlineStr">
        <is>
          <t>CUHSL</t>
        </is>
      </c>
      <c r="C239" t="inlineStr">
        <is>
          <t>SHELVES</t>
        </is>
      </c>
      <c r="D239" t="inlineStr">
        <is>
          <t>W 21 H4316 1986</t>
        </is>
      </c>
      <c r="E239" t="inlineStr">
        <is>
          <t>0                      W  0021000H  4316        1986</t>
        </is>
      </c>
      <c r="F239" t="inlineStr">
        <is>
          <t>Heal thyself : the health of health care professionals / edited by Cynthia D. Scott and Joann Hawk.</t>
        </is>
      </c>
      <c r="H239" t="inlineStr">
        <is>
          <t>No</t>
        </is>
      </c>
      <c r="I239" t="inlineStr">
        <is>
          <t>1</t>
        </is>
      </c>
      <c r="J239" t="inlineStr">
        <is>
          <t>No</t>
        </is>
      </c>
      <c r="K239" t="inlineStr">
        <is>
          <t>No</t>
        </is>
      </c>
      <c r="L239" t="inlineStr">
        <is>
          <t>0</t>
        </is>
      </c>
      <c r="N239" t="inlineStr">
        <is>
          <t>New York : Brunner/Mazel, c1986.</t>
        </is>
      </c>
      <c r="O239" t="inlineStr">
        <is>
          <t>1986</t>
        </is>
      </c>
      <c r="Q239" t="inlineStr">
        <is>
          <t>eng</t>
        </is>
      </c>
      <c r="R239" t="inlineStr">
        <is>
          <t>xxu</t>
        </is>
      </c>
      <c r="T239" t="inlineStr">
        <is>
          <t xml:space="preserve">W  </t>
        </is>
      </c>
      <c r="U239" t="n">
        <v>6</v>
      </c>
      <c r="V239" t="n">
        <v>6</v>
      </c>
      <c r="W239" t="inlineStr">
        <is>
          <t>2000-03-27</t>
        </is>
      </c>
      <c r="X239" t="inlineStr">
        <is>
          <t>2000-03-27</t>
        </is>
      </c>
      <c r="Y239" t="inlineStr">
        <is>
          <t>1987-10-07</t>
        </is>
      </c>
      <c r="Z239" t="inlineStr">
        <is>
          <t>1987-10-07</t>
        </is>
      </c>
      <c r="AA239" t="n">
        <v>234</v>
      </c>
      <c r="AB239" t="n">
        <v>200</v>
      </c>
      <c r="AC239" t="n">
        <v>202</v>
      </c>
      <c r="AD239" t="n">
        <v>1</v>
      </c>
      <c r="AE239" t="n">
        <v>1</v>
      </c>
      <c r="AF239" t="n">
        <v>5</v>
      </c>
      <c r="AG239" t="n">
        <v>5</v>
      </c>
      <c r="AH239" t="n">
        <v>0</v>
      </c>
      <c r="AI239" t="n">
        <v>0</v>
      </c>
      <c r="AJ239" t="n">
        <v>1</v>
      </c>
      <c r="AK239" t="n">
        <v>1</v>
      </c>
      <c r="AL239" t="n">
        <v>5</v>
      </c>
      <c r="AM239" t="n">
        <v>5</v>
      </c>
      <c r="AN239" t="n">
        <v>0</v>
      </c>
      <c r="AO239" t="n">
        <v>0</v>
      </c>
      <c r="AP239" t="n">
        <v>0</v>
      </c>
      <c r="AQ239" t="n">
        <v>0</v>
      </c>
      <c r="AR239" t="inlineStr">
        <is>
          <t>No</t>
        </is>
      </c>
      <c r="AS239" t="inlineStr">
        <is>
          <t>Yes</t>
        </is>
      </c>
      <c r="AT239">
        <f>HYPERLINK("http://catalog.hathitrust.org/Record/000360009","HathiTrust Record")</f>
        <v/>
      </c>
      <c r="AU239">
        <f>HYPERLINK("https://creighton-primo.hosted.exlibrisgroup.com/primo-explore/search?tab=default_tab&amp;search_scope=EVERYTHING&amp;vid=01CRU&amp;lang=en_US&amp;offset=0&amp;query=any,contains,991001176239702656","Catalog Record")</f>
        <v/>
      </c>
      <c r="AV239">
        <f>HYPERLINK("http://www.worldcat.org/oclc/12978495","WorldCat Record")</f>
        <v/>
      </c>
      <c r="AW239" t="inlineStr">
        <is>
          <t>903512814:eng</t>
        </is>
      </c>
      <c r="AX239" t="inlineStr">
        <is>
          <t>12978495</t>
        </is>
      </c>
      <c r="AY239" t="inlineStr">
        <is>
          <t>991001176239702656</t>
        </is>
      </c>
      <c r="AZ239" t="inlineStr">
        <is>
          <t>991001176239702656</t>
        </is>
      </c>
      <c r="BA239" t="inlineStr">
        <is>
          <t>2271676450002656</t>
        </is>
      </c>
      <c r="BB239" t="inlineStr">
        <is>
          <t>BOOK</t>
        </is>
      </c>
      <c r="BD239" t="inlineStr">
        <is>
          <t>9780876304068</t>
        </is>
      </c>
      <c r="BE239" t="inlineStr">
        <is>
          <t>30001000308033</t>
        </is>
      </c>
      <c r="BF239" t="inlineStr">
        <is>
          <t>893284521</t>
        </is>
      </c>
    </row>
    <row r="240">
      <c r="A240" t="inlineStr">
        <is>
          <t>No</t>
        </is>
      </c>
      <c r="B240" t="inlineStr">
        <is>
          <t>CUHSL</t>
        </is>
      </c>
      <c r="C240" t="inlineStr">
        <is>
          <t>SHELVES</t>
        </is>
      </c>
      <c r="D240" t="inlineStr">
        <is>
          <t>W 21 H645h 1985</t>
        </is>
      </c>
      <c r="E240" t="inlineStr">
        <is>
          <t>0                      W  0021000H  645h        1985</t>
        </is>
      </c>
      <c r="F240" t="inlineStr">
        <is>
          <t>Healing the wounds : a physician looks at his work / David Hilfiker.</t>
        </is>
      </c>
      <c r="H240" t="inlineStr">
        <is>
          <t>No</t>
        </is>
      </c>
      <c r="I240" t="inlineStr">
        <is>
          <t>1</t>
        </is>
      </c>
      <c r="J240" t="inlineStr">
        <is>
          <t>No</t>
        </is>
      </c>
      <c r="K240" t="inlineStr">
        <is>
          <t>Yes</t>
        </is>
      </c>
      <c r="L240" t="inlineStr">
        <is>
          <t>0</t>
        </is>
      </c>
      <c r="M240" t="inlineStr">
        <is>
          <t>Hilfiker, David.</t>
        </is>
      </c>
      <c r="N240" t="inlineStr">
        <is>
          <t>New York : Pantheon Books, c1985.</t>
        </is>
      </c>
      <c r="O240" t="inlineStr">
        <is>
          <t>1985</t>
        </is>
      </c>
      <c r="Q240" t="inlineStr">
        <is>
          <t>eng</t>
        </is>
      </c>
      <c r="R240" t="inlineStr">
        <is>
          <t>xxu</t>
        </is>
      </c>
      <c r="T240" t="inlineStr">
        <is>
          <t xml:space="preserve">W  </t>
        </is>
      </c>
      <c r="U240" t="n">
        <v>16</v>
      </c>
      <c r="V240" t="n">
        <v>16</v>
      </c>
      <c r="W240" t="inlineStr">
        <is>
          <t>2003-02-12</t>
        </is>
      </c>
      <c r="X240" t="inlineStr">
        <is>
          <t>2003-02-12</t>
        </is>
      </c>
      <c r="Y240" t="inlineStr">
        <is>
          <t>1987-10-01</t>
        </is>
      </c>
      <c r="Z240" t="inlineStr">
        <is>
          <t>1987-10-01</t>
        </is>
      </c>
      <c r="AA240" t="n">
        <v>573</v>
      </c>
      <c r="AB240" t="n">
        <v>549</v>
      </c>
      <c r="AC240" t="n">
        <v>1338</v>
      </c>
      <c r="AD240" t="n">
        <v>3</v>
      </c>
      <c r="AE240" t="n">
        <v>7</v>
      </c>
      <c r="AF240" t="n">
        <v>13</v>
      </c>
      <c r="AG240" t="n">
        <v>32</v>
      </c>
      <c r="AH240" t="n">
        <v>7</v>
      </c>
      <c r="AI240" t="n">
        <v>15</v>
      </c>
      <c r="AJ240" t="n">
        <v>0</v>
      </c>
      <c r="AK240" t="n">
        <v>5</v>
      </c>
      <c r="AL240" t="n">
        <v>8</v>
      </c>
      <c r="AM240" t="n">
        <v>15</v>
      </c>
      <c r="AN240" t="n">
        <v>1</v>
      </c>
      <c r="AO240" t="n">
        <v>5</v>
      </c>
      <c r="AP240" t="n">
        <v>1</v>
      </c>
      <c r="AQ240" t="n">
        <v>1</v>
      </c>
      <c r="AR240" t="inlineStr">
        <is>
          <t>No</t>
        </is>
      </c>
      <c r="AS240" t="inlineStr">
        <is>
          <t>Yes</t>
        </is>
      </c>
      <c r="AT240">
        <f>HYPERLINK("http://catalog.hathitrust.org/Record/000473050","HathiTrust Record")</f>
        <v/>
      </c>
      <c r="AU240">
        <f>HYPERLINK("https://creighton-primo.hosted.exlibrisgroup.com/primo-explore/search?tab=default_tab&amp;search_scope=EVERYTHING&amp;vid=01CRU&amp;lang=en_US&amp;offset=0&amp;query=any,contains,991001176279702656","Catalog Record")</f>
        <v/>
      </c>
      <c r="AV240">
        <f>HYPERLINK("http://www.worldcat.org/oclc/12083021","WorldCat Record")</f>
        <v/>
      </c>
      <c r="AW240" t="inlineStr">
        <is>
          <t>4730789:eng</t>
        </is>
      </c>
      <c r="AX240" t="inlineStr">
        <is>
          <t>12083021</t>
        </is>
      </c>
      <c r="AY240" t="inlineStr">
        <is>
          <t>991001176279702656</t>
        </is>
      </c>
      <c r="AZ240" t="inlineStr">
        <is>
          <t>991001176279702656</t>
        </is>
      </c>
      <c r="BA240" t="inlineStr">
        <is>
          <t>2264989750002656</t>
        </is>
      </c>
      <c r="BB240" t="inlineStr">
        <is>
          <t>BOOK</t>
        </is>
      </c>
      <c r="BD240" t="inlineStr">
        <is>
          <t>9780394542836</t>
        </is>
      </c>
      <c r="BE240" t="inlineStr">
        <is>
          <t>30001000308058</t>
        </is>
      </c>
      <c r="BF240" t="inlineStr">
        <is>
          <t>893148942</t>
        </is>
      </c>
    </row>
    <row r="241">
      <c r="A241" t="inlineStr">
        <is>
          <t>No</t>
        </is>
      </c>
      <c r="B241" t="inlineStr">
        <is>
          <t>CUHSL</t>
        </is>
      </c>
      <c r="C241" t="inlineStr">
        <is>
          <t>SHELVES</t>
        </is>
      </c>
      <c r="D241" t="inlineStr">
        <is>
          <t>W 21 I347 1998</t>
        </is>
      </c>
      <c r="E241" t="inlineStr">
        <is>
          <t>0                      W  0021000I  347         1998</t>
        </is>
      </c>
      <c r="F241" t="inlineStr">
        <is>
          <t>In search of physician leadership / [edited by] Barbara LeTourneau, Wesley Curry.</t>
        </is>
      </c>
      <c r="H241" t="inlineStr">
        <is>
          <t>No</t>
        </is>
      </c>
      <c r="I241" t="inlineStr">
        <is>
          <t>1</t>
        </is>
      </c>
      <c r="J241" t="inlineStr">
        <is>
          <t>No</t>
        </is>
      </c>
      <c r="K241" t="inlineStr">
        <is>
          <t>No</t>
        </is>
      </c>
      <c r="L241" t="inlineStr">
        <is>
          <t>0</t>
        </is>
      </c>
      <c r="N241" t="inlineStr">
        <is>
          <t>Chicago, Ill. : Health Administration Press, c1998.</t>
        </is>
      </c>
      <c r="O241" t="inlineStr">
        <is>
          <t>1998</t>
        </is>
      </c>
      <c r="Q241" t="inlineStr">
        <is>
          <t>eng</t>
        </is>
      </c>
      <c r="R241" t="inlineStr">
        <is>
          <t>ilu</t>
        </is>
      </c>
      <c r="T241" t="inlineStr">
        <is>
          <t xml:space="preserve">W  </t>
        </is>
      </c>
      <c r="U241" t="n">
        <v>0</v>
      </c>
      <c r="V241" t="n">
        <v>0</v>
      </c>
      <c r="W241" t="inlineStr">
        <is>
          <t>2004-09-24</t>
        </is>
      </c>
      <c r="X241" t="inlineStr">
        <is>
          <t>2004-09-24</t>
        </is>
      </c>
      <c r="Y241" t="inlineStr">
        <is>
          <t>2004-09-24</t>
        </is>
      </c>
      <c r="Z241" t="inlineStr">
        <is>
          <t>2004-09-24</t>
        </is>
      </c>
      <c r="AA241" t="n">
        <v>40</v>
      </c>
      <c r="AB241" t="n">
        <v>36</v>
      </c>
      <c r="AC241" t="n">
        <v>36</v>
      </c>
      <c r="AD241" t="n">
        <v>1</v>
      </c>
      <c r="AE241" t="n">
        <v>1</v>
      </c>
      <c r="AF241" t="n">
        <v>0</v>
      </c>
      <c r="AG241" t="n">
        <v>0</v>
      </c>
      <c r="AH241" t="n">
        <v>0</v>
      </c>
      <c r="AI241" t="n">
        <v>0</v>
      </c>
      <c r="AJ241" t="n">
        <v>0</v>
      </c>
      <c r="AK241" t="n">
        <v>0</v>
      </c>
      <c r="AL241" t="n">
        <v>0</v>
      </c>
      <c r="AM241" t="n">
        <v>0</v>
      </c>
      <c r="AN241" t="n">
        <v>0</v>
      </c>
      <c r="AO241" t="n">
        <v>0</v>
      </c>
      <c r="AP241" t="n">
        <v>0</v>
      </c>
      <c r="AQ241" t="n">
        <v>0</v>
      </c>
      <c r="AR241" t="inlineStr">
        <is>
          <t>No</t>
        </is>
      </c>
      <c r="AS241" t="inlineStr">
        <is>
          <t>No</t>
        </is>
      </c>
      <c r="AU241">
        <f>HYPERLINK("https://creighton-primo.hosted.exlibrisgroup.com/primo-explore/search?tab=default_tab&amp;search_scope=EVERYTHING&amp;vid=01CRU&amp;lang=en_US&amp;offset=0&amp;query=any,contains,991000396539702656","Catalog Record")</f>
        <v/>
      </c>
      <c r="AV241">
        <f>HYPERLINK("http://www.worldcat.org/oclc/38562275","WorldCat Record")</f>
        <v/>
      </c>
      <c r="AW241" t="inlineStr">
        <is>
          <t>353253468:eng</t>
        </is>
      </c>
      <c r="AX241" t="inlineStr">
        <is>
          <t>38562275</t>
        </is>
      </c>
      <c r="AY241" t="inlineStr">
        <is>
          <t>991000396539702656</t>
        </is>
      </c>
      <c r="AZ241" t="inlineStr">
        <is>
          <t>991000396539702656</t>
        </is>
      </c>
      <c r="BA241" t="inlineStr">
        <is>
          <t>2265802880002656</t>
        </is>
      </c>
      <c r="BB241" t="inlineStr">
        <is>
          <t>BOOK</t>
        </is>
      </c>
      <c r="BD241" t="inlineStr">
        <is>
          <t>9781567930825</t>
        </is>
      </c>
      <c r="BE241" t="inlineStr">
        <is>
          <t>30001004979094</t>
        </is>
      </c>
      <c r="BF241" t="inlineStr">
        <is>
          <t>893452085</t>
        </is>
      </c>
    </row>
    <row r="242">
      <c r="A242" t="inlineStr">
        <is>
          <t>No</t>
        </is>
      </c>
      <c r="B242" t="inlineStr">
        <is>
          <t>CUHSL</t>
        </is>
      </c>
      <c r="C242" t="inlineStr">
        <is>
          <t>SHELVES</t>
        </is>
      </c>
      <c r="D242" t="inlineStr">
        <is>
          <t>W 21 I61 1980</t>
        </is>
      </c>
      <c r="E242" t="inlineStr">
        <is>
          <t>0                      W  0021000I  61          1980</t>
        </is>
      </c>
      <c r="F242" t="inlineStr">
        <is>
          <t>Introduction to health professions / edited by Anne S. Allen.</t>
        </is>
      </c>
      <c r="H242" t="inlineStr">
        <is>
          <t>No</t>
        </is>
      </c>
      <c r="I242" t="inlineStr">
        <is>
          <t>1</t>
        </is>
      </c>
      <c r="J242" t="inlineStr">
        <is>
          <t>No</t>
        </is>
      </c>
      <c r="K242" t="inlineStr">
        <is>
          <t>No</t>
        </is>
      </c>
      <c r="L242" t="inlineStr">
        <is>
          <t>0</t>
        </is>
      </c>
      <c r="N242" t="inlineStr">
        <is>
          <t>Saint Louis : Mosby, 1980.</t>
        </is>
      </c>
      <c r="O242" t="inlineStr">
        <is>
          <t>1980</t>
        </is>
      </c>
      <c r="P242" t="inlineStr">
        <is>
          <t>3d ed.</t>
        </is>
      </c>
      <c r="Q242" t="inlineStr">
        <is>
          <t>eng</t>
        </is>
      </c>
      <c r="R242" t="inlineStr">
        <is>
          <t>mou</t>
        </is>
      </c>
      <c r="T242" t="inlineStr">
        <is>
          <t xml:space="preserve">W  </t>
        </is>
      </c>
      <c r="U242" t="n">
        <v>5</v>
      </c>
      <c r="V242" t="n">
        <v>5</v>
      </c>
      <c r="W242" t="inlineStr">
        <is>
          <t>1996-04-29</t>
        </is>
      </c>
      <c r="X242" t="inlineStr">
        <is>
          <t>1996-04-29</t>
        </is>
      </c>
      <c r="Y242" t="inlineStr">
        <is>
          <t>1987-10-01</t>
        </is>
      </c>
      <c r="Z242" t="inlineStr">
        <is>
          <t>1987-10-01</t>
        </is>
      </c>
      <c r="AA242" t="n">
        <v>159</v>
      </c>
      <c r="AB242" t="n">
        <v>139</v>
      </c>
      <c r="AC242" t="n">
        <v>252</v>
      </c>
      <c r="AD242" t="n">
        <v>2</v>
      </c>
      <c r="AE242" t="n">
        <v>3</v>
      </c>
      <c r="AF242" t="n">
        <v>1</v>
      </c>
      <c r="AG242" t="n">
        <v>2</v>
      </c>
      <c r="AH242" t="n">
        <v>0</v>
      </c>
      <c r="AI242" t="n">
        <v>0</v>
      </c>
      <c r="AJ242" t="n">
        <v>0</v>
      </c>
      <c r="AK242" t="n">
        <v>0</v>
      </c>
      <c r="AL242" t="n">
        <v>0</v>
      </c>
      <c r="AM242" t="n">
        <v>0</v>
      </c>
      <c r="AN242" t="n">
        <v>1</v>
      </c>
      <c r="AO242" t="n">
        <v>2</v>
      </c>
      <c r="AP242" t="n">
        <v>0</v>
      </c>
      <c r="AQ242" t="n">
        <v>0</v>
      </c>
      <c r="AR242" t="inlineStr">
        <is>
          <t>No</t>
        </is>
      </c>
      <c r="AS242" t="inlineStr">
        <is>
          <t>No</t>
        </is>
      </c>
      <c r="AU242">
        <f>HYPERLINK("https://creighton-primo.hosted.exlibrisgroup.com/primo-explore/search?tab=default_tab&amp;search_scope=EVERYTHING&amp;vid=01CRU&amp;lang=en_US&amp;offset=0&amp;query=any,contains,991001176019702656","Catalog Record")</f>
        <v/>
      </c>
      <c r="AV242">
        <f>HYPERLINK("http://www.worldcat.org/oclc/5726968","WorldCat Record")</f>
        <v/>
      </c>
      <c r="AW242" t="inlineStr">
        <is>
          <t>54075442:eng</t>
        </is>
      </c>
      <c r="AX242" t="inlineStr">
        <is>
          <t>5726968</t>
        </is>
      </c>
      <c r="AY242" t="inlineStr">
        <is>
          <t>991001176019702656</t>
        </is>
      </c>
      <c r="AZ242" t="inlineStr">
        <is>
          <t>991001176019702656</t>
        </is>
      </c>
      <c r="BA242" t="inlineStr">
        <is>
          <t>2263299840002656</t>
        </is>
      </c>
      <c r="BB242" t="inlineStr">
        <is>
          <t>BOOK</t>
        </is>
      </c>
      <c r="BD242" t="inlineStr">
        <is>
          <t>9780801601132</t>
        </is>
      </c>
      <c r="BE242" t="inlineStr">
        <is>
          <t>30001000308017</t>
        </is>
      </c>
      <c r="BF242" t="inlineStr">
        <is>
          <t>893358303</t>
        </is>
      </c>
    </row>
    <row r="243">
      <c r="A243" t="inlineStr">
        <is>
          <t>No</t>
        </is>
      </c>
      <c r="B243" t="inlineStr">
        <is>
          <t>CUHSL</t>
        </is>
      </c>
      <c r="C243" t="inlineStr">
        <is>
          <t>SHELVES</t>
        </is>
      </c>
      <c r="D243" t="inlineStr">
        <is>
          <t>W 21 L864w 1968</t>
        </is>
      </c>
      <c r="E243" t="inlineStr">
        <is>
          <t>0                      W  0021000L  864w        1968</t>
        </is>
      </c>
      <c r="F243" t="inlineStr">
        <is>
          <t>Women in medicine / by Carol Lopate.</t>
        </is>
      </c>
      <c r="H243" t="inlineStr">
        <is>
          <t>No</t>
        </is>
      </c>
      <c r="I243" t="inlineStr">
        <is>
          <t>1</t>
        </is>
      </c>
      <c r="J243" t="inlineStr">
        <is>
          <t>No</t>
        </is>
      </c>
      <c r="K243" t="inlineStr">
        <is>
          <t>No</t>
        </is>
      </c>
      <c r="L243" t="inlineStr">
        <is>
          <t>0</t>
        </is>
      </c>
      <c r="M243" t="inlineStr">
        <is>
          <t>Lopate, Carol.</t>
        </is>
      </c>
      <c r="N243" t="inlineStr">
        <is>
          <t>Baltimore : Johns Hopkins Press, c1968.</t>
        </is>
      </c>
      <c r="O243" t="inlineStr">
        <is>
          <t>1968</t>
        </is>
      </c>
      <c r="Q243" t="inlineStr">
        <is>
          <t>eng</t>
        </is>
      </c>
      <c r="R243" t="inlineStr">
        <is>
          <t>mdu</t>
        </is>
      </c>
      <c r="T243" t="inlineStr">
        <is>
          <t xml:space="preserve">W  </t>
        </is>
      </c>
      <c r="U243" t="n">
        <v>8</v>
      </c>
      <c r="V243" t="n">
        <v>8</v>
      </c>
      <c r="W243" t="inlineStr">
        <is>
          <t>1998-10-31</t>
        </is>
      </c>
      <c r="X243" t="inlineStr">
        <is>
          <t>1998-10-31</t>
        </is>
      </c>
      <c r="Y243" t="inlineStr">
        <is>
          <t>1987-10-01</t>
        </is>
      </c>
      <c r="Z243" t="inlineStr">
        <is>
          <t>1987-10-01</t>
        </is>
      </c>
      <c r="AA243" t="n">
        <v>780</v>
      </c>
      <c r="AB243" t="n">
        <v>705</v>
      </c>
      <c r="AC243" t="n">
        <v>707</v>
      </c>
      <c r="AD243" t="n">
        <v>5</v>
      </c>
      <c r="AE243" t="n">
        <v>5</v>
      </c>
      <c r="AF243" t="n">
        <v>25</v>
      </c>
      <c r="AG243" t="n">
        <v>25</v>
      </c>
      <c r="AH243" t="n">
        <v>8</v>
      </c>
      <c r="AI243" t="n">
        <v>8</v>
      </c>
      <c r="AJ243" t="n">
        <v>4</v>
      </c>
      <c r="AK243" t="n">
        <v>4</v>
      </c>
      <c r="AL243" t="n">
        <v>14</v>
      </c>
      <c r="AM243" t="n">
        <v>14</v>
      </c>
      <c r="AN243" t="n">
        <v>4</v>
      </c>
      <c r="AO243" t="n">
        <v>4</v>
      </c>
      <c r="AP243" t="n">
        <v>0</v>
      </c>
      <c r="AQ243" t="n">
        <v>0</v>
      </c>
      <c r="AR243" t="inlineStr">
        <is>
          <t>No</t>
        </is>
      </c>
      <c r="AS243" t="inlineStr">
        <is>
          <t>Yes</t>
        </is>
      </c>
      <c r="AT243">
        <f>HYPERLINK("http://catalog.hathitrust.org/Record/001557725","HathiTrust Record")</f>
        <v/>
      </c>
      <c r="AU243">
        <f>HYPERLINK("https://creighton-primo.hosted.exlibrisgroup.com/primo-explore/search?tab=default_tab&amp;search_scope=EVERYTHING&amp;vid=01CRU&amp;lang=en_US&amp;offset=0&amp;query=any,contains,991001175979702656","Catalog Record")</f>
        <v/>
      </c>
      <c r="AV243">
        <f>HYPERLINK("http://www.worldcat.org/oclc/293581","WorldCat Record")</f>
        <v/>
      </c>
      <c r="AW243" t="inlineStr">
        <is>
          <t>451374:eng</t>
        </is>
      </c>
      <c r="AX243" t="inlineStr">
        <is>
          <t>293581</t>
        </is>
      </c>
      <c r="AY243" t="inlineStr">
        <is>
          <t>991001175979702656</t>
        </is>
      </c>
      <c r="AZ243" t="inlineStr">
        <is>
          <t>991001175979702656</t>
        </is>
      </c>
      <c r="BA243" t="inlineStr">
        <is>
          <t>2266602430002656</t>
        </is>
      </c>
      <c r="BB243" t="inlineStr">
        <is>
          <t>BOOK</t>
        </is>
      </c>
      <c r="BE243" t="inlineStr">
        <is>
          <t>30001000307993</t>
        </is>
      </c>
      <c r="BF243" t="inlineStr">
        <is>
          <t>893369173</t>
        </is>
      </c>
    </row>
    <row r="244">
      <c r="A244" t="inlineStr">
        <is>
          <t>No</t>
        </is>
      </c>
      <c r="B244" t="inlineStr">
        <is>
          <t>CUHSL</t>
        </is>
      </c>
      <c r="C244" t="inlineStr">
        <is>
          <t>SHELVES</t>
        </is>
      </c>
      <c r="D244" t="inlineStr">
        <is>
          <t>W 21 L865w 1984</t>
        </is>
      </c>
      <c r="E244" t="inlineStr">
        <is>
          <t>0                      W  0021000L  865w        1984</t>
        </is>
      </c>
      <c r="F244" t="inlineStr">
        <is>
          <t>Women physicians : careers, status, and power / Judith Lorber.</t>
        </is>
      </c>
      <c r="H244" t="inlineStr">
        <is>
          <t>No</t>
        </is>
      </c>
      <c r="I244" t="inlineStr">
        <is>
          <t>1</t>
        </is>
      </c>
      <c r="J244" t="inlineStr">
        <is>
          <t>No</t>
        </is>
      </c>
      <c r="K244" t="inlineStr">
        <is>
          <t>No</t>
        </is>
      </c>
      <c r="L244" t="inlineStr">
        <is>
          <t>0</t>
        </is>
      </c>
      <c r="M244" t="inlineStr">
        <is>
          <t>Lorber, Judith.</t>
        </is>
      </c>
      <c r="N244" t="inlineStr">
        <is>
          <t>New York : Tavistock Publications, c1984.</t>
        </is>
      </c>
      <c r="O244" t="inlineStr">
        <is>
          <t>1984</t>
        </is>
      </c>
      <c r="Q244" t="inlineStr">
        <is>
          <t>eng</t>
        </is>
      </c>
      <c r="R244" t="inlineStr">
        <is>
          <t>xxu</t>
        </is>
      </c>
      <c r="T244" t="inlineStr">
        <is>
          <t xml:space="preserve">W  </t>
        </is>
      </c>
      <c r="U244" t="n">
        <v>12</v>
      </c>
      <c r="V244" t="n">
        <v>12</v>
      </c>
      <c r="W244" t="inlineStr">
        <is>
          <t>2000-03-27</t>
        </is>
      </c>
      <c r="X244" t="inlineStr">
        <is>
          <t>2000-03-27</t>
        </is>
      </c>
      <c r="Y244" t="inlineStr">
        <is>
          <t>1987-10-01</t>
        </is>
      </c>
      <c r="Z244" t="inlineStr">
        <is>
          <t>1987-10-01</t>
        </is>
      </c>
      <c r="AA244" t="n">
        <v>539</v>
      </c>
      <c r="AB244" t="n">
        <v>425</v>
      </c>
      <c r="AC244" t="n">
        <v>427</v>
      </c>
      <c r="AD244" t="n">
        <v>4</v>
      </c>
      <c r="AE244" t="n">
        <v>4</v>
      </c>
      <c r="AF244" t="n">
        <v>18</v>
      </c>
      <c r="AG244" t="n">
        <v>18</v>
      </c>
      <c r="AH244" t="n">
        <v>8</v>
      </c>
      <c r="AI244" t="n">
        <v>8</v>
      </c>
      <c r="AJ244" t="n">
        <v>5</v>
      </c>
      <c r="AK244" t="n">
        <v>5</v>
      </c>
      <c r="AL244" t="n">
        <v>6</v>
      </c>
      <c r="AM244" t="n">
        <v>6</v>
      </c>
      <c r="AN244" t="n">
        <v>3</v>
      </c>
      <c r="AO244" t="n">
        <v>3</v>
      </c>
      <c r="AP244" t="n">
        <v>0</v>
      </c>
      <c r="AQ244" t="n">
        <v>0</v>
      </c>
      <c r="AR244" t="inlineStr">
        <is>
          <t>No</t>
        </is>
      </c>
      <c r="AS244" t="inlineStr">
        <is>
          <t>Yes</t>
        </is>
      </c>
      <c r="AT244">
        <f>HYPERLINK("http://catalog.hathitrust.org/Record/000365522","HathiTrust Record")</f>
        <v/>
      </c>
      <c r="AU244">
        <f>HYPERLINK("https://creighton-primo.hosted.exlibrisgroup.com/primo-explore/search?tab=default_tab&amp;search_scope=EVERYTHING&amp;vid=01CRU&amp;lang=en_US&amp;offset=0&amp;query=any,contains,991001175849702656","Catalog Record")</f>
        <v/>
      </c>
      <c r="AV244">
        <f>HYPERLINK("http://www.worldcat.org/oclc/11158789","WorldCat Record")</f>
        <v/>
      </c>
      <c r="AW244" t="inlineStr">
        <is>
          <t>287348655:eng</t>
        </is>
      </c>
      <c r="AX244" t="inlineStr">
        <is>
          <t>11158789</t>
        </is>
      </c>
      <c r="AY244" t="inlineStr">
        <is>
          <t>991001175849702656</t>
        </is>
      </c>
      <c r="AZ244" t="inlineStr">
        <is>
          <t>991001175849702656</t>
        </is>
      </c>
      <c r="BA244" t="inlineStr">
        <is>
          <t>2256660020002656</t>
        </is>
      </c>
      <c r="BB244" t="inlineStr">
        <is>
          <t>BOOK</t>
        </is>
      </c>
      <c r="BD244" t="inlineStr">
        <is>
          <t>9780422790406</t>
        </is>
      </c>
      <c r="BE244" t="inlineStr">
        <is>
          <t>30001000307985</t>
        </is>
      </c>
      <c r="BF244" t="inlineStr">
        <is>
          <t>893546426</t>
        </is>
      </c>
    </row>
    <row r="245">
      <c r="A245" t="inlineStr">
        <is>
          <t>No</t>
        </is>
      </c>
      <c r="B245" t="inlineStr">
        <is>
          <t>CUHSL</t>
        </is>
      </c>
      <c r="C245" t="inlineStr">
        <is>
          <t>SHELVES</t>
        </is>
      </c>
      <c r="D245" t="inlineStr">
        <is>
          <t>W 21 M487 1977</t>
        </is>
      </c>
      <c r="E245" t="inlineStr">
        <is>
          <t>0                      W  0021000M  487         1977</t>
        </is>
      </c>
      <c r="F245" t="inlineStr">
        <is>
          <t>Medical peer review : theory and practice / edited by Paul Y. Ertel, M. Gene Aldridge.</t>
        </is>
      </c>
      <c r="H245" t="inlineStr">
        <is>
          <t>No</t>
        </is>
      </c>
      <c r="I245" t="inlineStr">
        <is>
          <t>1</t>
        </is>
      </c>
      <c r="J245" t="inlineStr">
        <is>
          <t>No</t>
        </is>
      </c>
      <c r="K245" t="inlineStr">
        <is>
          <t>No</t>
        </is>
      </c>
      <c r="L245" t="inlineStr">
        <is>
          <t>0</t>
        </is>
      </c>
      <c r="N245" t="inlineStr">
        <is>
          <t>-- St. Louis : Mosby, 1977.</t>
        </is>
      </c>
      <c r="O245" t="inlineStr">
        <is>
          <t>1977</t>
        </is>
      </c>
      <c r="Q245" t="inlineStr">
        <is>
          <t>eng</t>
        </is>
      </c>
      <c r="R245" t="inlineStr">
        <is>
          <t>mou</t>
        </is>
      </c>
      <c r="T245" t="inlineStr">
        <is>
          <t xml:space="preserve">W  </t>
        </is>
      </c>
      <c r="U245" t="n">
        <v>6</v>
      </c>
      <c r="V245" t="n">
        <v>6</v>
      </c>
      <c r="W245" t="inlineStr">
        <is>
          <t>2006-07-25</t>
        </is>
      </c>
      <c r="X245" t="inlineStr">
        <is>
          <t>2006-07-25</t>
        </is>
      </c>
      <c r="Y245" t="inlineStr">
        <is>
          <t>1987-10-01</t>
        </is>
      </c>
      <c r="Z245" t="inlineStr">
        <is>
          <t>1987-10-01</t>
        </is>
      </c>
      <c r="AA245" t="n">
        <v>206</v>
      </c>
      <c r="AB245" t="n">
        <v>167</v>
      </c>
      <c r="AC245" t="n">
        <v>174</v>
      </c>
      <c r="AD245" t="n">
        <v>2</v>
      </c>
      <c r="AE245" t="n">
        <v>2</v>
      </c>
      <c r="AF245" t="n">
        <v>5</v>
      </c>
      <c r="AG245" t="n">
        <v>5</v>
      </c>
      <c r="AH245" t="n">
        <v>0</v>
      </c>
      <c r="AI245" t="n">
        <v>0</v>
      </c>
      <c r="AJ245" t="n">
        <v>1</v>
      </c>
      <c r="AK245" t="n">
        <v>1</v>
      </c>
      <c r="AL245" t="n">
        <v>4</v>
      </c>
      <c r="AM245" t="n">
        <v>4</v>
      </c>
      <c r="AN245" t="n">
        <v>1</v>
      </c>
      <c r="AO245" t="n">
        <v>1</v>
      </c>
      <c r="AP245" t="n">
        <v>0</v>
      </c>
      <c r="AQ245" t="n">
        <v>0</v>
      </c>
      <c r="AR245" t="inlineStr">
        <is>
          <t>No</t>
        </is>
      </c>
      <c r="AS245" t="inlineStr">
        <is>
          <t>Yes</t>
        </is>
      </c>
      <c r="AT245">
        <f>HYPERLINK("http://catalog.hathitrust.org/Record/000251797","HathiTrust Record")</f>
        <v/>
      </c>
      <c r="AU245">
        <f>HYPERLINK("https://creighton-primo.hosted.exlibrisgroup.com/primo-explore/search?tab=default_tab&amp;search_scope=EVERYTHING&amp;vid=01CRU&amp;lang=en_US&amp;offset=0&amp;query=any,contains,991001175769702656","Catalog Record")</f>
        <v/>
      </c>
      <c r="AV245">
        <f>HYPERLINK("http://www.worldcat.org/oclc/3016744","WorldCat Record")</f>
        <v/>
      </c>
      <c r="AW245" t="inlineStr">
        <is>
          <t>7117296:eng</t>
        </is>
      </c>
      <c r="AX245" t="inlineStr">
        <is>
          <t>3016744</t>
        </is>
      </c>
      <c r="AY245" t="inlineStr">
        <is>
          <t>991001175769702656</t>
        </is>
      </c>
      <c r="AZ245" t="inlineStr">
        <is>
          <t>991001175769702656</t>
        </is>
      </c>
      <c r="BA245" t="inlineStr">
        <is>
          <t>2271451400002656</t>
        </is>
      </c>
      <c r="BB245" t="inlineStr">
        <is>
          <t>BOOK</t>
        </is>
      </c>
      <c r="BD245" t="inlineStr">
        <is>
          <t>9780801615337</t>
        </is>
      </c>
      <c r="BE245" t="inlineStr">
        <is>
          <t>30001000307969</t>
        </is>
      </c>
      <c r="BF245" t="inlineStr">
        <is>
          <t>893268179</t>
        </is>
      </c>
    </row>
    <row r="246">
      <c r="A246" t="inlineStr">
        <is>
          <t>No</t>
        </is>
      </c>
      <c r="B246" t="inlineStr">
        <is>
          <t>CUHSL</t>
        </is>
      </c>
      <c r="C246" t="inlineStr">
        <is>
          <t>SHELVES</t>
        </is>
      </c>
      <c r="D246" t="inlineStr">
        <is>
          <t>W 21 M849e</t>
        </is>
      </c>
      <c r="E246" t="inlineStr">
        <is>
          <t>0                      W  0021000M  849e</t>
        </is>
      </c>
      <c r="F246" t="inlineStr">
        <is>
          <t>Evaluating clinical competence in the health professions / Margaret K. Morgan, David M. Irby.</t>
        </is>
      </c>
      <c r="H246" t="inlineStr">
        <is>
          <t>No</t>
        </is>
      </c>
      <c r="I246" t="inlineStr">
        <is>
          <t>1</t>
        </is>
      </c>
      <c r="J246" t="inlineStr">
        <is>
          <t>No</t>
        </is>
      </c>
      <c r="K246" t="inlineStr">
        <is>
          <t>No</t>
        </is>
      </c>
      <c r="L246" t="inlineStr">
        <is>
          <t>0</t>
        </is>
      </c>
      <c r="M246" t="inlineStr">
        <is>
          <t>Morgan, Margaret K.</t>
        </is>
      </c>
      <c r="N246" t="inlineStr">
        <is>
          <t>-- St Louis : Mosby, 1978.</t>
        </is>
      </c>
      <c r="O246" t="inlineStr">
        <is>
          <t>1978</t>
        </is>
      </c>
      <c r="Q246" t="inlineStr">
        <is>
          <t>eng</t>
        </is>
      </c>
      <c r="R246" t="inlineStr">
        <is>
          <t>mou</t>
        </is>
      </c>
      <c r="T246" t="inlineStr">
        <is>
          <t xml:space="preserve">W  </t>
        </is>
      </c>
      <c r="U246" t="n">
        <v>6</v>
      </c>
      <c r="V246" t="n">
        <v>6</v>
      </c>
      <c r="W246" t="inlineStr">
        <is>
          <t>2000-02-14</t>
        </is>
      </c>
      <c r="X246" t="inlineStr">
        <is>
          <t>2000-02-14</t>
        </is>
      </c>
      <c r="Y246" t="inlineStr">
        <is>
          <t>1987-10-01</t>
        </is>
      </c>
      <c r="Z246" t="inlineStr">
        <is>
          <t>1987-10-01</t>
        </is>
      </c>
      <c r="AA246" t="n">
        <v>265</v>
      </c>
      <c r="AB246" t="n">
        <v>209</v>
      </c>
      <c r="AC246" t="n">
        <v>211</v>
      </c>
      <c r="AD246" t="n">
        <v>3</v>
      </c>
      <c r="AE246" t="n">
        <v>3</v>
      </c>
      <c r="AF246" t="n">
        <v>9</v>
      </c>
      <c r="AG246" t="n">
        <v>9</v>
      </c>
      <c r="AH246" t="n">
        <v>3</v>
      </c>
      <c r="AI246" t="n">
        <v>3</v>
      </c>
      <c r="AJ246" t="n">
        <v>3</v>
      </c>
      <c r="AK246" t="n">
        <v>3</v>
      </c>
      <c r="AL246" t="n">
        <v>5</v>
      </c>
      <c r="AM246" t="n">
        <v>5</v>
      </c>
      <c r="AN246" t="n">
        <v>2</v>
      </c>
      <c r="AO246" t="n">
        <v>2</v>
      </c>
      <c r="AP246" t="n">
        <v>0</v>
      </c>
      <c r="AQ246" t="n">
        <v>0</v>
      </c>
      <c r="AR246" t="inlineStr">
        <is>
          <t>No</t>
        </is>
      </c>
      <c r="AS246" t="inlineStr">
        <is>
          <t>Yes</t>
        </is>
      </c>
      <c r="AT246">
        <f>HYPERLINK("http://catalog.hathitrust.org/Record/000089607","HathiTrust Record")</f>
        <v/>
      </c>
      <c r="AU246">
        <f>HYPERLINK("https://creighton-primo.hosted.exlibrisgroup.com/primo-explore/search?tab=default_tab&amp;search_scope=EVERYTHING&amp;vid=01CRU&amp;lang=en_US&amp;offset=0&amp;query=any,contains,991001175739702656","Catalog Record")</f>
        <v/>
      </c>
      <c r="AV246">
        <f>HYPERLINK("http://www.worldcat.org/oclc/3542630","WorldCat Record")</f>
        <v/>
      </c>
      <c r="AW246" t="inlineStr">
        <is>
          <t>11382937:eng</t>
        </is>
      </c>
      <c r="AX246" t="inlineStr">
        <is>
          <t>3542630</t>
        </is>
      </c>
      <c r="AY246" t="inlineStr">
        <is>
          <t>991001175739702656</t>
        </is>
      </c>
      <c r="AZ246" t="inlineStr">
        <is>
          <t>991001175739702656</t>
        </is>
      </c>
      <c r="BA246" t="inlineStr">
        <is>
          <t>2264811840002656</t>
        </is>
      </c>
      <c r="BB246" t="inlineStr">
        <is>
          <t>BOOK</t>
        </is>
      </c>
      <c r="BD246" t="inlineStr">
        <is>
          <t>9780801634932</t>
        </is>
      </c>
      <c r="BE246" t="inlineStr">
        <is>
          <t>30001000307951</t>
        </is>
      </c>
      <c r="BF246" t="inlineStr">
        <is>
          <t>893284519</t>
        </is>
      </c>
    </row>
    <row r="247">
      <c r="A247" t="inlineStr">
        <is>
          <t>No</t>
        </is>
      </c>
      <c r="B247" t="inlineStr">
        <is>
          <t>CUHSL</t>
        </is>
      </c>
      <c r="C247" t="inlineStr">
        <is>
          <t>SHELVES</t>
        </is>
      </c>
      <c r="D247" t="inlineStr">
        <is>
          <t>W 21 N273t 1990</t>
        </is>
      </c>
      <c r="E247" t="inlineStr">
        <is>
          <t>0                      W  0021000N  273t        1990</t>
        </is>
      </c>
      <c r="F247" t="inlineStr">
        <is>
          <t>Tomorrow's doctors : the path to successful practice in the 1990s / Benjamin H. Natelson.</t>
        </is>
      </c>
      <c r="H247" t="inlineStr">
        <is>
          <t>No</t>
        </is>
      </c>
      <c r="I247" t="inlineStr">
        <is>
          <t>1</t>
        </is>
      </c>
      <c r="J247" t="inlineStr">
        <is>
          <t>No</t>
        </is>
      </c>
      <c r="K247" t="inlineStr">
        <is>
          <t>No</t>
        </is>
      </c>
      <c r="L247" t="inlineStr">
        <is>
          <t>0</t>
        </is>
      </c>
      <c r="M247" t="inlineStr">
        <is>
          <t>Natelson, Benjamin H.</t>
        </is>
      </c>
      <c r="N247" t="inlineStr">
        <is>
          <t>New York : Plenum Press, c1990.</t>
        </is>
      </c>
      <c r="O247" t="inlineStr">
        <is>
          <t>1990</t>
        </is>
      </c>
      <c r="Q247" t="inlineStr">
        <is>
          <t>eng</t>
        </is>
      </c>
      <c r="R247" t="inlineStr">
        <is>
          <t>xxu</t>
        </is>
      </c>
      <c r="T247" t="inlineStr">
        <is>
          <t xml:space="preserve">W  </t>
        </is>
      </c>
      <c r="U247" t="n">
        <v>11</v>
      </c>
      <c r="V247" t="n">
        <v>11</v>
      </c>
      <c r="W247" t="inlineStr">
        <is>
          <t>2005-10-10</t>
        </is>
      </c>
      <c r="X247" t="inlineStr">
        <is>
          <t>2005-10-10</t>
        </is>
      </c>
      <c r="Y247" t="inlineStr">
        <is>
          <t>1990-09-07</t>
        </is>
      </c>
      <c r="Z247" t="inlineStr">
        <is>
          <t>1990-09-07</t>
        </is>
      </c>
      <c r="AA247" t="n">
        <v>166</v>
      </c>
      <c r="AB247" t="n">
        <v>140</v>
      </c>
      <c r="AC247" t="n">
        <v>147</v>
      </c>
      <c r="AD247" t="n">
        <v>1</v>
      </c>
      <c r="AE247" t="n">
        <v>1</v>
      </c>
      <c r="AF247" t="n">
        <v>1</v>
      </c>
      <c r="AG247" t="n">
        <v>1</v>
      </c>
      <c r="AH247" t="n">
        <v>0</v>
      </c>
      <c r="AI247" t="n">
        <v>0</v>
      </c>
      <c r="AJ247" t="n">
        <v>0</v>
      </c>
      <c r="AK247" t="n">
        <v>0</v>
      </c>
      <c r="AL247" t="n">
        <v>1</v>
      </c>
      <c r="AM247" t="n">
        <v>1</v>
      </c>
      <c r="AN247" t="n">
        <v>0</v>
      </c>
      <c r="AO247" t="n">
        <v>0</v>
      </c>
      <c r="AP247" t="n">
        <v>0</v>
      </c>
      <c r="AQ247" t="n">
        <v>0</v>
      </c>
      <c r="AR247" t="inlineStr">
        <is>
          <t>No</t>
        </is>
      </c>
      <c r="AS247" t="inlineStr">
        <is>
          <t>Yes</t>
        </is>
      </c>
      <c r="AT247">
        <f>HYPERLINK("http://catalog.hathitrust.org/Record/001950870","HathiTrust Record")</f>
        <v/>
      </c>
      <c r="AU247">
        <f>HYPERLINK("https://creighton-primo.hosted.exlibrisgroup.com/primo-explore/search?tab=default_tab&amp;search_scope=EVERYTHING&amp;vid=01CRU&amp;lang=en_US&amp;offset=0&amp;query=any,contains,991001454559702656","Catalog Record")</f>
        <v/>
      </c>
      <c r="AV247">
        <f>HYPERLINK("http://www.worldcat.org/oclc/20690297","WorldCat Record")</f>
        <v/>
      </c>
      <c r="AW247" t="inlineStr">
        <is>
          <t>22664627:eng</t>
        </is>
      </c>
      <c r="AX247" t="inlineStr">
        <is>
          <t>20690297</t>
        </is>
      </c>
      <c r="AY247" t="inlineStr">
        <is>
          <t>991001454559702656</t>
        </is>
      </c>
      <c r="AZ247" t="inlineStr">
        <is>
          <t>991001454559702656</t>
        </is>
      </c>
      <c r="BA247" t="inlineStr">
        <is>
          <t>2267723980002656</t>
        </is>
      </c>
      <c r="BB247" t="inlineStr">
        <is>
          <t>BOOK</t>
        </is>
      </c>
      <c r="BD247" t="inlineStr">
        <is>
          <t>9780306431951</t>
        </is>
      </c>
      <c r="BE247" t="inlineStr">
        <is>
          <t>30001001884545</t>
        </is>
      </c>
      <c r="BF247" t="inlineStr">
        <is>
          <t>893816432</t>
        </is>
      </c>
    </row>
    <row r="248">
      <c r="A248" t="inlineStr">
        <is>
          <t>No</t>
        </is>
      </c>
      <c r="B248" t="inlineStr">
        <is>
          <t>CUHSL</t>
        </is>
      </c>
      <c r="C248" t="inlineStr">
        <is>
          <t>SHELVES</t>
        </is>
      </c>
      <c r="D248" t="inlineStr">
        <is>
          <t>W 21 N277 1990</t>
        </is>
      </c>
      <c r="E248" t="inlineStr">
        <is>
          <t>0                      W  0021000N  277         1990</t>
        </is>
      </c>
      <c r="F248" t="inlineStr">
        <is>
          <t>The National Board of Medical Examiners : 75th anniversary in service to medicine : a special review / with commentary by Kenneth I. Berns ... [et al.] ; edited by Kenneth E. Cotton, Judith L. Lawley.</t>
        </is>
      </c>
      <c r="H248" t="inlineStr">
        <is>
          <t>No</t>
        </is>
      </c>
      <c r="I248" t="inlineStr">
        <is>
          <t>1</t>
        </is>
      </c>
      <c r="J248" t="inlineStr">
        <is>
          <t>No</t>
        </is>
      </c>
      <c r="K248" t="inlineStr">
        <is>
          <t>No</t>
        </is>
      </c>
      <c r="L248" t="inlineStr">
        <is>
          <t>0</t>
        </is>
      </c>
      <c r="N248" t="inlineStr">
        <is>
          <t>Philadelphia : The Board, 1990.</t>
        </is>
      </c>
      <c r="O248" t="inlineStr">
        <is>
          <t>1990</t>
        </is>
      </c>
      <c r="Q248" t="inlineStr">
        <is>
          <t>eng</t>
        </is>
      </c>
      <c r="R248" t="inlineStr">
        <is>
          <t>pau</t>
        </is>
      </c>
      <c r="T248" t="inlineStr">
        <is>
          <t xml:space="preserve">W  </t>
        </is>
      </c>
      <c r="U248" t="n">
        <v>2</v>
      </c>
      <c r="V248" t="n">
        <v>2</v>
      </c>
      <c r="W248" t="inlineStr">
        <is>
          <t>1990-06-08</t>
        </is>
      </c>
      <c r="X248" t="inlineStr">
        <is>
          <t>1990-06-08</t>
        </is>
      </c>
      <c r="Y248" t="inlineStr">
        <is>
          <t>1990-06-08</t>
        </is>
      </c>
      <c r="Z248" t="inlineStr">
        <is>
          <t>1990-06-08</t>
        </is>
      </c>
      <c r="AA248" t="n">
        <v>43</v>
      </c>
      <c r="AB248" t="n">
        <v>40</v>
      </c>
      <c r="AC248" t="n">
        <v>40</v>
      </c>
      <c r="AD248" t="n">
        <v>1</v>
      </c>
      <c r="AE248" t="n">
        <v>1</v>
      </c>
      <c r="AF248" t="n">
        <v>0</v>
      </c>
      <c r="AG248" t="n">
        <v>0</v>
      </c>
      <c r="AH248" t="n">
        <v>0</v>
      </c>
      <c r="AI248" t="n">
        <v>0</v>
      </c>
      <c r="AJ248" t="n">
        <v>0</v>
      </c>
      <c r="AK248" t="n">
        <v>0</v>
      </c>
      <c r="AL248" t="n">
        <v>0</v>
      </c>
      <c r="AM248" t="n">
        <v>0</v>
      </c>
      <c r="AN248" t="n">
        <v>0</v>
      </c>
      <c r="AO248" t="n">
        <v>0</v>
      </c>
      <c r="AP248" t="n">
        <v>0</v>
      </c>
      <c r="AQ248" t="n">
        <v>0</v>
      </c>
      <c r="AR248" t="inlineStr">
        <is>
          <t>No</t>
        </is>
      </c>
      <c r="AS248" t="inlineStr">
        <is>
          <t>No</t>
        </is>
      </c>
      <c r="AU248">
        <f>HYPERLINK("https://creighton-primo.hosted.exlibrisgroup.com/primo-explore/search?tab=default_tab&amp;search_scope=EVERYTHING&amp;vid=01CRU&amp;lang=en_US&amp;offset=0&amp;query=any,contains,991001449079702656","Catalog Record")</f>
        <v/>
      </c>
      <c r="AV248">
        <f>HYPERLINK("http://www.worldcat.org/oclc/25677258","WorldCat Record")</f>
        <v/>
      </c>
      <c r="AW248" t="inlineStr">
        <is>
          <t>55356593:eng</t>
        </is>
      </c>
      <c r="AX248" t="inlineStr">
        <is>
          <t>25677258</t>
        </is>
      </c>
      <c r="AY248" t="inlineStr">
        <is>
          <t>991001449079702656</t>
        </is>
      </c>
      <c r="AZ248" t="inlineStr">
        <is>
          <t>991001449079702656</t>
        </is>
      </c>
      <c r="BA248" t="inlineStr">
        <is>
          <t>2254883210002656</t>
        </is>
      </c>
      <c r="BB248" t="inlineStr">
        <is>
          <t>BOOK</t>
        </is>
      </c>
      <c r="BE248" t="inlineStr">
        <is>
          <t>30001001882200</t>
        </is>
      </c>
      <c r="BF248" t="inlineStr">
        <is>
          <t>893552512</t>
        </is>
      </c>
    </row>
    <row r="249">
      <c r="A249" t="inlineStr">
        <is>
          <t>No</t>
        </is>
      </c>
      <c r="B249" t="inlineStr">
        <is>
          <t>CUHSL</t>
        </is>
      </c>
      <c r="C249" t="inlineStr">
        <is>
          <t>SHELVES</t>
        </is>
      </c>
      <c r="D249" t="inlineStr">
        <is>
          <t>W 21 R539o 1983</t>
        </is>
      </c>
      <c r="E249" t="inlineStr">
        <is>
          <t>0                      W  0021000R  539o        1983</t>
        </is>
      </c>
      <c r="F249" t="inlineStr">
        <is>
          <t>The official M.D. handbook / by Anne Eva Ricks ; artwork by Jon McIntosh ; [photography by Chas. E. Martin].</t>
        </is>
      </c>
      <c r="H249" t="inlineStr">
        <is>
          <t>No</t>
        </is>
      </c>
      <c r="I249" t="inlineStr">
        <is>
          <t>1</t>
        </is>
      </c>
      <c r="J249" t="inlineStr">
        <is>
          <t>No</t>
        </is>
      </c>
      <c r="K249" t="inlineStr">
        <is>
          <t>No</t>
        </is>
      </c>
      <c r="L249" t="inlineStr">
        <is>
          <t>0</t>
        </is>
      </c>
      <c r="M249" t="inlineStr">
        <is>
          <t>Ricks, Anne Eva.</t>
        </is>
      </c>
      <c r="N249" t="inlineStr">
        <is>
          <t>New York : New American Library, c1983.</t>
        </is>
      </c>
      <c r="O249" t="inlineStr">
        <is>
          <t>1983</t>
        </is>
      </c>
      <c r="Q249" t="inlineStr">
        <is>
          <t>eng</t>
        </is>
      </c>
      <c r="R249" t="inlineStr">
        <is>
          <t xml:space="preserve">xx </t>
        </is>
      </c>
      <c r="T249" t="inlineStr">
        <is>
          <t xml:space="preserve">W  </t>
        </is>
      </c>
      <c r="U249" t="n">
        <v>10</v>
      </c>
      <c r="V249" t="n">
        <v>10</v>
      </c>
      <c r="W249" t="inlineStr">
        <is>
          <t>1995-03-28</t>
        </is>
      </c>
      <c r="X249" t="inlineStr">
        <is>
          <t>1995-03-28</t>
        </is>
      </c>
      <c r="Y249" t="inlineStr">
        <is>
          <t>1987-10-01</t>
        </is>
      </c>
      <c r="Z249" t="inlineStr">
        <is>
          <t>1987-10-01</t>
        </is>
      </c>
      <c r="AA249" t="n">
        <v>26</v>
      </c>
      <c r="AB249" t="n">
        <v>22</v>
      </c>
      <c r="AC249" t="n">
        <v>22</v>
      </c>
      <c r="AD249" t="n">
        <v>1</v>
      </c>
      <c r="AE249" t="n">
        <v>1</v>
      </c>
      <c r="AF249" t="n">
        <v>0</v>
      </c>
      <c r="AG249" t="n">
        <v>0</v>
      </c>
      <c r="AH249" t="n">
        <v>0</v>
      </c>
      <c r="AI249" t="n">
        <v>0</v>
      </c>
      <c r="AJ249" t="n">
        <v>0</v>
      </c>
      <c r="AK249" t="n">
        <v>0</v>
      </c>
      <c r="AL249" t="n">
        <v>0</v>
      </c>
      <c r="AM249" t="n">
        <v>0</v>
      </c>
      <c r="AN249" t="n">
        <v>0</v>
      </c>
      <c r="AO249" t="n">
        <v>0</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HYPERLINK("https://creighton-primo.hosted.exlibrisgroup.com/primo-explore/search?tab=default_tab&amp;search_scope=EVERYTHING&amp;vid=01CRU&amp;lang=en_US&amp;offset=0&amp;query=any,contains,991001175809702656","Catalog Record")</f>
        <v/>
      </c>
      <c r="AV249">
        <f>HYPERLINK("http://www.worldcat.org/oclc/9621330","WorldCat Record")</f>
        <v/>
      </c>
      <c r="AW249" t="inlineStr">
        <is>
          <t>43163697:eng</t>
        </is>
      </c>
      <c r="AX249" t="inlineStr">
        <is>
          <t>9621330</t>
        </is>
      </c>
      <c r="AY249" t="inlineStr">
        <is>
          <t>991001175809702656</t>
        </is>
      </c>
      <c r="AZ249" t="inlineStr">
        <is>
          <t>991001175809702656</t>
        </is>
      </c>
      <c r="BA249" t="inlineStr">
        <is>
          <t>2269196680002656</t>
        </is>
      </c>
      <c r="BB249" t="inlineStr">
        <is>
          <t>BOOK</t>
        </is>
      </c>
      <c r="BD249" t="inlineStr">
        <is>
          <t>9780452254381</t>
        </is>
      </c>
      <c r="BE249" t="inlineStr">
        <is>
          <t>30001000307977</t>
        </is>
      </c>
      <c r="BF249" t="inlineStr">
        <is>
          <t>893284520</t>
        </is>
      </c>
    </row>
    <row r="250">
      <c r="A250" t="inlineStr">
        <is>
          <t>No</t>
        </is>
      </c>
      <c r="B250" t="inlineStr">
        <is>
          <t>CUHSL</t>
        </is>
      </c>
      <c r="C250" t="inlineStr">
        <is>
          <t>SHELVES</t>
        </is>
      </c>
      <c r="D250" t="inlineStr">
        <is>
          <t>W 21 R745 1978</t>
        </is>
      </c>
      <c r="E250" t="inlineStr">
        <is>
          <t>0                      W  0021000R  745         1978</t>
        </is>
      </c>
      <c r="F250" t="inlineStr">
        <is>
          <t>Role theory : perspectives for health professionals / Margaret E. Hardy, Mary E. Conway.</t>
        </is>
      </c>
      <c r="H250" t="inlineStr">
        <is>
          <t>No</t>
        </is>
      </c>
      <c r="I250" t="inlineStr">
        <is>
          <t>1</t>
        </is>
      </c>
      <c r="J250" t="inlineStr">
        <is>
          <t>No</t>
        </is>
      </c>
      <c r="K250" t="inlineStr">
        <is>
          <t>No</t>
        </is>
      </c>
      <c r="L250" t="inlineStr">
        <is>
          <t>0</t>
        </is>
      </c>
      <c r="N250" t="inlineStr">
        <is>
          <t>-- New York : Appleton-Century-Crofts, c1978.</t>
        </is>
      </c>
      <c r="O250" t="inlineStr">
        <is>
          <t>1978</t>
        </is>
      </c>
      <c r="Q250" t="inlineStr">
        <is>
          <t>eng</t>
        </is>
      </c>
      <c r="R250" t="inlineStr">
        <is>
          <t>nyu</t>
        </is>
      </c>
      <c r="T250" t="inlineStr">
        <is>
          <t xml:space="preserve">W  </t>
        </is>
      </c>
      <c r="U250" t="n">
        <v>3</v>
      </c>
      <c r="V250" t="n">
        <v>3</v>
      </c>
      <c r="W250" t="inlineStr">
        <is>
          <t>1991-08-14</t>
        </is>
      </c>
      <c r="X250" t="inlineStr">
        <is>
          <t>1991-08-14</t>
        </is>
      </c>
      <c r="Y250" t="inlineStr">
        <is>
          <t>1987-10-05</t>
        </is>
      </c>
      <c r="Z250" t="inlineStr">
        <is>
          <t>1987-10-05</t>
        </is>
      </c>
      <c r="AA250" t="n">
        <v>292</v>
      </c>
      <c r="AB250" t="n">
        <v>232</v>
      </c>
      <c r="AC250" t="n">
        <v>427</v>
      </c>
      <c r="AD250" t="n">
        <v>3</v>
      </c>
      <c r="AE250" t="n">
        <v>5</v>
      </c>
      <c r="AF250" t="n">
        <v>11</v>
      </c>
      <c r="AG250" t="n">
        <v>24</v>
      </c>
      <c r="AH250" t="n">
        <v>4</v>
      </c>
      <c r="AI250" t="n">
        <v>9</v>
      </c>
      <c r="AJ250" t="n">
        <v>2</v>
      </c>
      <c r="AK250" t="n">
        <v>5</v>
      </c>
      <c r="AL250" t="n">
        <v>6</v>
      </c>
      <c r="AM250" t="n">
        <v>13</v>
      </c>
      <c r="AN250" t="n">
        <v>2</v>
      </c>
      <c r="AO250" t="n">
        <v>3</v>
      </c>
      <c r="AP250" t="n">
        <v>0</v>
      </c>
      <c r="AQ250" t="n">
        <v>0</v>
      </c>
      <c r="AR250" t="inlineStr">
        <is>
          <t>No</t>
        </is>
      </c>
      <c r="AS250" t="inlineStr">
        <is>
          <t>Yes</t>
        </is>
      </c>
      <c r="AT250">
        <f>HYPERLINK("http://catalog.hathitrust.org/Record/000215967","HathiTrust Record")</f>
        <v/>
      </c>
      <c r="AU250">
        <f>HYPERLINK("https://creighton-primo.hosted.exlibrisgroup.com/primo-explore/search?tab=default_tab&amp;search_scope=EVERYTHING&amp;vid=01CRU&amp;lang=en_US&amp;offset=0&amp;query=any,contains,991000753599702656","Catalog Record")</f>
        <v/>
      </c>
      <c r="AV250">
        <f>HYPERLINK("http://www.worldcat.org/oclc/4194084","WorldCat Record")</f>
        <v/>
      </c>
      <c r="AW250" t="inlineStr">
        <is>
          <t>197434964:eng</t>
        </is>
      </c>
      <c r="AX250" t="inlineStr">
        <is>
          <t>4194084</t>
        </is>
      </c>
      <c r="AY250" t="inlineStr">
        <is>
          <t>991000753599702656</t>
        </is>
      </c>
      <c r="AZ250" t="inlineStr">
        <is>
          <t>991000753599702656</t>
        </is>
      </c>
      <c r="BA250" t="inlineStr">
        <is>
          <t>2262447300002656</t>
        </is>
      </c>
      <c r="BB250" t="inlineStr">
        <is>
          <t>BOOK</t>
        </is>
      </c>
      <c r="BD250" t="inlineStr">
        <is>
          <t>9780838584712</t>
        </is>
      </c>
      <c r="BE250" t="inlineStr">
        <is>
          <t>30001000051542</t>
        </is>
      </c>
      <c r="BF250" t="inlineStr">
        <is>
          <t>893540413</t>
        </is>
      </c>
    </row>
    <row r="251">
      <c r="A251" t="inlineStr">
        <is>
          <t>No</t>
        </is>
      </c>
      <c r="B251" t="inlineStr">
        <is>
          <t>CUHSL</t>
        </is>
      </c>
      <c r="C251" t="inlineStr">
        <is>
          <t>SHELVES</t>
        </is>
      </c>
      <c r="D251" t="inlineStr">
        <is>
          <t>W 21 S428p 1999</t>
        </is>
      </c>
      <c r="E251" t="inlineStr">
        <is>
          <t>0                      W  0021000S  428p        1999</t>
        </is>
      </c>
      <c r="F251" t="inlineStr">
        <is>
          <t>Planning for a successful career transition : the physician's guide to managing career change.</t>
        </is>
      </c>
      <c r="H251" t="inlineStr">
        <is>
          <t>No</t>
        </is>
      </c>
      <c r="I251" t="inlineStr">
        <is>
          <t>1</t>
        </is>
      </c>
      <c r="J251" t="inlineStr">
        <is>
          <t>No</t>
        </is>
      </c>
      <c r="K251" t="inlineStr">
        <is>
          <t>No</t>
        </is>
      </c>
      <c r="L251" t="inlineStr">
        <is>
          <t>0</t>
        </is>
      </c>
      <c r="M251" t="inlineStr">
        <is>
          <t>Scott, Mike.</t>
        </is>
      </c>
      <c r="N251" t="inlineStr">
        <is>
          <t>Chicago, Ill. : American Medical Association, c1999.</t>
        </is>
      </c>
      <c r="O251" t="inlineStr">
        <is>
          <t>1999</t>
        </is>
      </c>
      <c r="Q251" t="inlineStr">
        <is>
          <t>eng</t>
        </is>
      </c>
      <c r="R251" t="inlineStr">
        <is>
          <t>ilu</t>
        </is>
      </c>
      <c r="T251" t="inlineStr">
        <is>
          <t xml:space="preserve">W  </t>
        </is>
      </c>
      <c r="U251" t="n">
        <v>1</v>
      </c>
      <c r="V251" t="n">
        <v>1</v>
      </c>
      <c r="W251" t="inlineStr">
        <is>
          <t>2008-01-07</t>
        </is>
      </c>
      <c r="X251" t="inlineStr">
        <is>
          <t>2008-01-07</t>
        </is>
      </c>
      <c r="Y251" t="inlineStr">
        <is>
          <t>2000-04-04</t>
        </is>
      </c>
      <c r="Z251" t="inlineStr">
        <is>
          <t>2000-04-04</t>
        </is>
      </c>
      <c r="AA251" t="n">
        <v>39</v>
      </c>
      <c r="AB251" t="n">
        <v>38</v>
      </c>
      <c r="AC251" t="n">
        <v>40</v>
      </c>
      <c r="AD251" t="n">
        <v>1</v>
      </c>
      <c r="AE251" t="n">
        <v>1</v>
      </c>
      <c r="AF251" t="n">
        <v>0</v>
      </c>
      <c r="AG251" t="n">
        <v>0</v>
      </c>
      <c r="AH251" t="n">
        <v>0</v>
      </c>
      <c r="AI251" t="n">
        <v>0</v>
      </c>
      <c r="AJ251" t="n">
        <v>0</v>
      </c>
      <c r="AK251" t="n">
        <v>0</v>
      </c>
      <c r="AL251" t="n">
        <v>0</v>
      </c>
      <c r="AM251" t="n">
        <v>0</v>
      </c>
      <c r="AN251" t="n">
        <v>0</v>
      </c>
      <c r="AO251" t="n">
        <v>0</v>
      </c>
      <c r="AP251" t="n">
        <v>0</v>
      </c>
      <c r="AQ251" t="n">
        <v>0</v>
      </c>
      <c r="AR251" t="inlineStr">
        <is>
          <t>No</t>
        </is>
      </c>
      <c r="AS251" t="inlineStr">
        <is>
          <t>Yes</t>
        </is>
      </c>
      <c r="AT251">
        <f>HYPERLINK("http://catalog.hathitrust.org/Record/004025651","HathiTrust Record")</f>
        <v/>
      </c>
      <c r="AU251">
        <f>HYPERLINK("https://creighton-primo.hosted.exlibrisgroup.com/primo-explore/search?tab=default_tab&amp;search_scope=EVERYTHING&amp;vid=01CRU&amp;lang=en_US&amp;offset=0&amp;query=any,contains,991001407169702656","Catalog Record")</f>
        <v/>
      </c>
      <c r="AV251">
        <f>HYPERLINK("http://www.worldcat.org/oclc/42683322","WorldCat Record")</f>
        <v/>
      </c>
      <c r="AW251" t="inlineStr">
        <is>
          <t>476376611:eng</t>
        </is>
      </c>
      <c r="AX251" t="inlineStr">
        <is>
          <t>42683322</t>
        </is>
      </c>
      <c r="AY251" t="inlineStr">
        <is>
          <t>991001407169702656</t>
        </is>
      </c>
      <c r="AZ251" t="inlineStr">
        <is>
          <t>991001407169702656</t>
        </is>
      </c>
      <c r="BA251" t="inlineStr">
        <is>
          <t>2263602510002656</t>
        </is>
      </c>
      <c r="BB251" t="inlineStr">
        <is>
          <t>BOOK</t>
        </is>
      </c>
      <c r="BD251" t="inlineStr">
        <is>
          <t>9780899709802</t>
        </is>
      </c>
      <c r="BE251" t="inlineStr">
        <is>
          <t>30001003824291</t>
        </is>
      </c>
      <c r="BF251" t="inlineStr">
        <is>
          <t>893161946</t>
        </is>
      </c>
    </row>
    <row r="252">
      <c r="A252" t="inlineStr">
        <is>
          <t>No</t>
        </is>
      </c>
      <c r="B252" t="inlineStr">
        <is>
          <t>CUHSL</t>
        </is>
      </c>
      <c r="C252" t="inlineStr">
        <is>
          <t>SHELVES</t>
        </is>
      </c>
      <c r="D252" t="inlineStr">
        <is>
          <t>W 21 T475m 1996</t>
        </is>
      </c>
      <c r="E252" t="inlineStr">
        <is>
          <t>0                      W  0021000T  475m        1996</t>
        </is>
      </c>
      <c r="F252" t="inlineStr">
        <is>
          <t>The medical staff leaders' practical guide : the resource library for medical staff leaders / by Richard E. Thompson</t>
        </is>
      </c>
      <c r="H252" t="inlineStr">
        <is>
          <t>No</t>
        </is>
      </c>
      <c r="I252" t="inlineStr">
        <is>
          <t>1</t>
        </is>
      </c>
      <c r="J252" t="inlineStr">
        <is>
          <t>No</t>
        </is>
      </c>
      <c r="K252" t="inlineStr">
        <is>
          <t>No</t>
        </is>
      </c>
      <c r="L252" t="inlineStr">
        <is>
          <t>0</t>
        </is>
      </c>
      <c r="M252" t="inlineStr">
        <is>
          <t>Thompson, Richard E., 1934-</t>
        </is>
      </c>
      <c r="N252" t="inlineStr">
        <is>
          <t>Marblehead, MA : Opus Communications, c1996.</t>
        </is>
      </c>
      <c r="O252" t="inlineStr">
        <is>
          <t>1996</t>
        </is>
      </c>
      <c r="P252" t="inlineStr">
        <is>
          <t>3rd ed.</t>
        </is>
      </c>
      <c r="Q252" t="inlineStr">
        <is>
          <t>eng</t>
        </is>
      </c>
      <c r="R252" t="inlineStr">
        <is>
          <t>mau</t>
        </is>
      </c>
      <c r="T252" t="inlineStr">
        <is>
          <t xml:space="preserve">W  </t>
        </is>
      </c>
      <c r="U252" t="n">
        <v>5</v>
      </c>
      <c r="V252" t="n">
        <v>5</v>
      </c>
      <c r="W252" t="inlineStr">
        <is>
          <t>1997-09-05</t>
        </is>
      </c>
      <c r="X252" t="inlineStr">
        <is>
          <t>1997-09-05</t>
        </is>
      </c>
      <c r="Y252" t="inlineStr">
        <is>
          <t>1997-06-09</t>
        </is>
      </c>
      <c r="Z252" t="inlineStr">
        <is>
          <t>1997-06-09</t>
        </is>
      </c>
      <c r="AA252" t="n">
        <v>12</v>
      </c>
      <c r="AB252" t="n">
        <v>11</v>
      </c>
      <c r="AC252" t="n">
        <v>15</v>
      </c>
      <c r="AD252" t="n">
        <v>1</v>
      </c>
      <c r="AE252" t="n">
        <v>1</v>
      </c>
      <c r="AF252" t="n">
        <v>0</v>
      </c>
      <c r="AG252" t="n">
        <v>0</v>
      </c>
      <c r="AH252" t="n">
        <v>0</v>
      </c>
      <c r="AI252" t="n">
        <v>0</v>
      </c>
      <c r="AJ252" t="n">
        <v>0</v>
      </c>
      <c r="AK252" t="n">
        <v>0</v>
      </c>
      <c r="AL252" t="n">
        <v>0</v>
      </c>
      <c r="AM252" t="n">
        <v>0</v>
      </c>
      <c r="AN252" t="n">
        <v>0</v>
      </c>
      <c r="AO252" t="n">
        <v>0</v>
      </c>
      <c r="AP252" t="n">
        <v>0</v>
      </c>
      <c r="AQ252" t="n">
        <v>0</v>
      </c>
      <c r="AR252" t="inlineStr">
        <is>
          <t>No</t>
        </is>
      </c>
      <c r="AS252" t="inlineStr">
        <is>
          <t>No</t>
        </is>
      </c>
      <c r="AU252">
        <f>HYPERLINK("https://creighton-primo.hosted.exlibrisgroup.com/primo-explore/search?tab=default_tab&amp;search_scope=EVERYTHING&amp;vid=01CRU&amp;lang=en_US&amp;offset=0&amp;query=any,contains,991001560929702656","Catalog Record")</f>
        <v/>
      </c>
      <c r="AV252">
        <f>HYPERLINK("http://www.worldcat.org/oclc/34795636","WorldCat Record")</f>
        <v/>
      </c>
      <c r="AW252" t="inlineStr">
        <is>
          <t>2057665:eng</t>
        </is>
      </c>
      <c r="AX252" t="inlineStr">
        <is>
          <t>34795636</t>
        </is>
      </c>
      <c r="AY252" t="inlineStr">
        <is>
          <t>991001560929702656</t>
        </is>
      </c>
      <c r="AZ252" t="inlineStr">
        <is>
          <t>991001560929702656</t>
        </is>
      </c>
      <c r="BA252" t="inlineStr">
        <is>
          <t>2257602560002656</t>
        </is>
      </c>
      <c r="BB252" t="inlineStr">
        <is>
          <t>BOOK</t>
        </is>
      </c>
      <c r="BD252" t="inlineStr">
        <is>
          <t>9781885829283</t>
        </is>
      </c>
      <c r="BE252" t="inlineStr">
        <is>
          <t>30001003680404</t>
        </is>
      </c>
      <c r="BF252" t="inlineStr">
        <is>
          <t>893638449</t>
        </is>
      </c>
    </row>
    <row r="253">
      <c r="A253" t="inlineStr">
        <is>
          <t>No</t>
        </is>
      </c>
      <c r="B253" t="inlineStr">
        <is>
          <t>CUHSL</t>
        </is>
      </c>
      <c r="C253" t="inlineStr">
        <is>
          <t>SHELVES</t>
        </is>
      </c>
      <c r="D253" t="inlineStr">
        <is>
          <t>W 21 T867d 1951</t>
        </is>
      </c>
      <c r="E253" t="inlineStr">
        <is>
          <t>0                      W  0021000T  867d        1951</t>
        </is>
      </c>
      <c r="F253" t="inlineStr">
        <is>
          <t>The doctor, his career, his business, his human relations / Stanley R. Truman.</t>
        </is>
      </c>
      <c r="H253" t="inlineStr">
        <is>
          <t>No</t>
        </is>
      </c>
      <c r="I253" t="inlineStr">
        <is>
          <t>1</t>
        </is>
      </c>
      <c r="J253" t="inlineStr">
        <is>
          <t>No</t>
        </is>
      </c>
      <c r="K253" t="inlineStr">
        <is>
          <t>No</t>
        </is>
      </c>
      <c r="L253" t="inlineStr">
        <is>
          <t>0</t>
        </is>
      </c>
      <c r="M253" t="inlineStr">
        <is>
          <t>Truman, Stanley, 1903-</t>
        </is>
      </c>
      <c r="N253" t="inlineStr">
        <is>
          <t>Baltimore : Williams &amp; Wilkins, c1951.</t>
        </is>
      </c>
      <c r="O253" t="inlineStr">
        <is>
          <t>1951</t>
        </is>
      </c>
      <c r="Q253" t="inlineStr">
        <is>
          <t>eng</t>
        </is>
      </c>
      <c r="R253" t="inlineStr">
        <is>
          <t>mau</t>
        </is>
      </c>
      <c r="T253" t="inlineStr">
        <is>
          <t xml:space="preserve">W  </t>
        </is>
      </c>
      <c r="U253" t="n">
        <v>2</v>
      </c>
      <c r="V253" t="n">
        <v>2</v>
      </c>
      <c r="W253" t="inlineStr">
        <is>
          <t>2006-02-24</t>
        </is>
      </c>
      <c r="X253" t="inlineStr">
        <is>
          <t>2006-02-24</t>
        </is>
      </c>
      <c r="Y253" t="inlineStr">
        <is>
          <t>1987-10-08</t>
        </is>
      </c>
      <c r="Z253" t="inlineStr">
        <is>
          <t>1987-10-08</t>
        </is>
      </c>
      <c r="AA253" t="n">
        <v>72</v>
      </c>
      <c r="AB253" t="n">
        <v>64</v>
      </c>
      <c r="AC253" t="n">
        <v>73</v>
      </c>
      <c r="AD253" t="n">
        <v>1</v>
      </c>
      <c r="AE253" t="n">
        <v>1</v>
      </c>
      <c r="AF253" t="n">
        <v>0</v>
      </c>
      <c r="AG253" t="n">
        <v>0</v>
      </c>
      <c r="AH253" t="n">
        <v>0</v>
      </c>
      <c r="AI253" t="n">
        <v>0</v>
      </c>
      <c r="AJ253" t="n">
        <v>0</v>
      </c>
      <c r="AK253" t="n">
        <v>0</v>
      </c>
      <c r="AL253" t="n">
        <v>0</v>
      </c>
      <c r="AM253" t="n">
        <v>0</v>
      </c>
      <c r="AN253" t="n">
        <v>0</v>
      </c>
      <c r="AO253" t="n">
        <v>0</v>
      </c>
      <c r="AP253" t="n">
        <v>0</v>
      </c>
      <c r="AQ253" t="n">
        <v>0</v>
      </c>
      <c r="AR253" t="inlineStr">
        <is>
          <t>Yes</t>
        </is>
      </c>
      <c r="AS253" t="inlineStr">
        <is>
          <t>No</t>
        </is>
      </c>
      <c r="AT253">
        <f>HYPERLINK("http://catalog.hathitrust.org/Record/001557718","HathiTrust Record")</f>
        <v/>
      </c>
      <c r="AU253">
        <f>HYPERLINK("https://creighton-primo.hosted.exlibrisgroup.com/primo-explore/search?tab=default_tab&amp;search_scope=EVERYTHING&amp;vid=01CRU&amp;lang=en_US&amp;offset=0&amp;query=any,contains,991001178799702656","Catalog Record")</f>
        <v/>
      </c>
      <c r="AV253">
        <f>HYPERLINK("http://www.worldcat.org/oclc/3162389","WorldCat Record")</f>
        <v/>
      </c>
      <c r="AW253" t="inlineStr">
        <is>
          <t>60779814:eng</t>
        </is>
      </c>
      <c r="AX253" t="inlineStr">
        <is>
          <t>3162389</t>
        </is>
      </c>
      <c r="AY253" t="inlineStr">
        <is>
          <t>991001178799702656</t>
        </is>
      </c>
      <c r="AZ253" t="inlineStr">
        <is>
          <t>991001178799702656</t>
        </is>
      </c>
      <c r="BA253" t="inlineStr">
        <is>
          <t>2259986740002656</t>
        </is>
      </c>
      <c r="BB253" t="inlineStr">
        <is>
          <t>BOOK</t>
        </is>
      </c>
      <c r="BE253" t="inlineStr">
        <is>
          <t>30001000308546</t>
        </is>
      </c>
      <c r="BF253" t="inlineStr">
        <is>
          <t>893557670</t>
        </is>
      </c>
    </row>
    <row r="254">
      <c r="A254" t="inlineStr">
        <is>
          <t>No</t>
        </is>
      </c>
      <c r="B254" t="inlineStr">
        <is>
          <t>CUHSL</t>
        </is>
      </c>
      <c r="C254" t="inlineStr">
        <is>
          <t>SHELVES</t>
        </is>
      </c>
      <c r="D254" t="inlineStr">
        <is>
          <t>W 21 U58 1996</t>
        </is>
      </c>
      <c r="E254" t="inlineStr">
        <is>
          <t>0                      W  0021000U  58          1996</t>
        </is>
      </c>
      <c r="F254" t="inlineStr">
        <is>
          <t>The U.S. health workforce : power, politics, and policy / Marian Osterweis ... [et al.], editors.</t>
        </is>
      </c>
      <c r="H254" t="inlineStr">
        <is>
          <t>No</t>
        </is>
      </c>
      <c r="I254" t="inlineStr">
        <is>
          <t>1</t>
        </is>
      </c>
      <c r="J254" t="inlineStr">
        <is>
          <t>No</t>
        </is>
      </c>
      <c r="K254" t="inlineStr">
        <is>
          <t>No</t>
        </is>
      </c>
      <c r="L254" t="inlineStr">
        <is>
          <t>0</t>
        </is>
      </c>
      <c r="N254" t="inlineStr">
        <is>
          <t>Washington, DC : Association of Academic Health Centers, c1996.</t>
        </is>
      </c>
      <c r="O254" t="inlineStr">
        <is>
          <t>1996</t>
        </is>
      </c>
      <c r="Q254" t="inlineStr">
        <is>
          <t>eng</t>
        </is>
      </c>
      <c r="R254" t="inlineStr">
        <is>
          <t>dcu</t>
        </is>
      </c>
      <c r="T254" t="inlineStr">
        <is>
          <t xml:space="preserve">W  </t>
        </is>
      </c>
      <c r="U254" t="n">
        <v>7</v>
      </c>
      <c r="V254" t="n">
        <v>7</v>
      </c>
      <c r="W254" t="inlineStr">
        <is>
          <t>1996-11-03</t>
        </is>
      </c>
      <c r="X254" t="inlineStr">
        <is>
          <t>1996-11-03</t>
        </is>
      </c>
      <c r="Y254" t="inlineStr">
        <is>
          <t>1996-04-11</t>
        </is>
      </c>
      <c r="Z254" t="inlineStr">
        <is>
          <t>1996-04-11</t>
        </is>
      </c>
      <c r="AA254" t="n">
        <v>199</v>
      </c>
      <c r="AB254" t="n">
        <v>189</v>
      </c>
      <c r="AC254" t="n">
        <v>196</v>
      </c>
      <c r="AD254" t="n">
        <v>2</v>
      </c>
      <c r="AE254" t="n">
        <v>2</v>
      </c>
      <c r="AF254" t="n">
        <v>5</v>
      </c>
      <c r="AG254" t="n">
        <v>5</v>
      </c>
      <c r="AH254" t="n">
        <v>2</v>
      </c>
      <c r="AI254" t="n">
        <v>2</v>
      </c>
      <c r="AJ254" t="n">
        <v>2</v>
      </c>
      <c r="AK254" t="n">
        <v>2</v>
      </c>
      <c r="AL254" t="n">
        <v>2</v>
      </c>
      <c r="AM254" t="n">
        <v>2</v>
      </c>
      <c r="AN254" t="n">
        <v>0</v>
      </c>
      <c r="AO254" t="n">
        <v>0</v>
      </c>
      <c r="AP254" t="n">
        <v>0</v>
      </c>
      <c r="AQ254" t="n">
        <v>0</v>
      </c>
      <c r="AR254" t="inlineStr">
        <is>
          <t>No</t>
        </is>
      </c>
      <c r="AS254" t="inlineStr">
        <is>
          <t>Yes</t>
        </is>
      </c>
      <c r="AT254">
        <f>HYPERLINK("http://catalog.hathitrust.org/Record/003100699","HathiTrust Record")</f>
        <v/>
      </c>
      <c r="AU254">
        <f>HYPERLINK("https://creighton-primo.hosted.exlibrisgroup.com/primo-explore/search?tab=default_tab&amp;search_scope=EVERYTHING&amp;vid=01CRU&amp;lang=en_US&amp;offset=0&amp;query=any,contains,991001506009702656","Catalog Record")</f>
        <v/>
      </c>
      <c r="AV254">
        <f>HYPERLINK("http://www.worldcat.org/oclc/33983438","WorldCat Record")</f>
        <v/>
      </c>
      <c r="AW254" t="inlineStr">
        <is>
          <t>39396843:eng</t>
        </is>
      </c>
      <c r="AX254" t="inlineStr">
        <is>
          <t>33983438</t>
        </is>
      </c>
      <c r="AY254" t="inlineStr">
        <is>
          <t>991001506009702656</t>
        </is>
      </c>
      <c r="AZ254" t="inlineStr">
        <is>
          <t>991001506009702656</t>
        </is>
      </c>
      <c r="BA254" t="inlineStr">
        <is>
          <t>2262002980002656</t>
        </is>
      </c>
      <c r="BB254" t="inlineStr">
        <is>
          <t>BOOK</t>
        </is>
      </c>
      <c r="BD254" t="inlineStr">
        <is>
          <t>9781879694118</t>
        </is>
      </c>
      <c r="BE254" t="inlineStr">
        <is>
          <t>30001003264399</t>
        </is>
      </c>
      <c r="BF254" t="inlineStr">
        <is>
          <t>893834700</t>
        </is>
      </c>
    </row>
    <row r="255">
      <c r="A255" t="inlineStr">
        <is>
          <t>No</t>
        </is>
      </c>
      <c r="B255" t="inlineStr">
        <is>
          <t>CUHSL</t>
        </is>
      </c>
      <c r="C255" t="inlineStr">
        <is>
          <t>SHELVES</t>
        </is>
      </c>
      <c r="D255" t="inlineStr">
        <is>
          <t>W 21 V624d 1991</t>
        </is>
      </c>
      <c r="E255" t="inlineStr">
        <is>
          <t>0                      W  0021000V  624d        1991</t>
        </is>
      </c>
      <c r="F255" t="inlineStr">
        <is>
          <t>The Doctor watchers / Spencer Vibbert.</t>
        </is>
      </c>
      <c r="H255" t="inlineStr">
        <is>
          <t>No</t>
        </is>
      </c>
      <c r="I255" t="inlineStr">
        <is>
          <t>1</t>
        </is>
      </c>
      <c r="J255" t="inlineStr">
        <is>
          <t>No</t>
        </is>
      </c>
      <c r="K255" t="inlineStr">
        <is>
          <t>No</t>
        </is>
      </c>
      <c r="L255" t="inlineStr">
        <is>
          <t>0</t>
        </is>
      </c>
      <c r="M255" t="inlineStr">
        <is>
          <t>Vibbert, Spencer.</t>
        </is>
      </c>
      <c r="N255" t="inlineStr">
        <is>
          <t>Knoxville, Tenn. : Whittle Direct Books, c1991.</t>
        </is>
      </c>
      <c r="O255" t="inlineStr">
        <is>
          <t>1991</t>
        </is>
      </c>
      <c r="Q255" t="inlineStr">
        <is>
          <t>eng</t>
        </is>
      </c>
      <c r="R255" t="inlineStr">
        <is>
          <t>tnu</t>
        </is>
      </c>
      <c r="S255" t="inlineStr">
        <is>
          <t>Grand rounds press</t>
        </is>
      </c>
      <c r="T255" t="inlineStr">
        <is>
          <t xml:space="preserve">W  </t>
        </is>
      </c>
      <c r="U255" t="n">
        <v>2</v>
      </c>
      <c r="V255" t="n">
        <v>2</v>
      </c>
      <c r="W255" t="inlineStr">
        <is>
          <t>1992-01-30</t>
        </is>
      </c>
      <c r="X255" t="inlineStr">
        <is>
          <t>1992-01-30</t>
        </is>
      </c>
      <c r="Y255" t="inlineStr">
        <is>
          <t>1992-01-30</t>
        </is>
      </c>
      <c r="Z255" t="inlineStr">
        <is>
          <t>1992-01-30</t>
        </is>
      </c>
      <c r="AA255" t="n">
        <v>132</v>
      </c>
      <c r="AB255" t="n">
        <v>132</v>
      </c>
      <c r="AC255" t="n">
        <v>132</v>
      </c>
      <c r="AD255" t="n">
        <v>2</v>
      </c>
      <c r="AE255" t="n">
        <v>2</v>
      </c>
      <c r="AF255" t="n">
        <v>2</v>
      </c>
      <c r="AG255" t="n">
        <v>2</v>
      </c>
      <c r="AH255" t="n">
        <v>0</v>
      </c>
      <c r="AI255" t="n">
        <v>0</v>
      </c>
      <c r="AJ255" t="n">
        <v>0</v>
      </c>
      <c r="AK255" t="n">
        <v>0</v>
      </c>
      <c r="AL255" t="n">
        <v>0</v>
      </c>
      <c r="AM255" t="n">
        <v>0</v>
      </c>
      <c r="AN255" t="n">
        <v>0</v>
      </c>
      <c r="AO255" t="n">
        <v>0</v>
      </c>
      <c r="AP255" t="n">
        <v>2</v>
      </c>
      <c r="AQ255" t="n">
        <v>2</v>
      </c>
      <c r="AR255" t="inlineStr">
        <is>
          <t>No</t>
        </is>
      </c>
      <c r="AS255" t="inlineStr">
        <is>
          <t>No</t>
        </is>
      </c>
      <c r="AU255">
        <f>HYPERLINK("https://creighton-primo.hosted.exlibrisgroup.com/primo-explore/search?tab=default_tab&amp;search_scope=EVERYTHING&amp;vid=01CRU&amp;lang=en_US&amp;offset=0&amp;query=any,contains,991001030839702656","Catalog Record")</f>
        <v/>
      </c>
      <c r="AV255">
        <f>HYPERLINK("http://www.worldcat.org/oclc/23446117","WorldCat Record")</f>
        <v/>
      </c>
      <c r="AW255" t="inlineStr">
        <is>
          <t>25535030:eng</t>
        </is>
      </c>
      <c r="AX255" t="inlineStr">
        <is>
          <t>23446117</t>
        </is>
      </c>
      <c r="AY255" t="inlineStr">
        <is>
          <t>991001030839702656</t>
        </is>
      </c>
      <c r="AZ255" t="inlineStr">
        <is>
          <t>991001030839702656</t>
        </is>
      </c>
      <c r="BA255" t="inlineStr">
        <is>
          <t>2255098130002656</t>
        </is>
      </c>
      <c r="BB255" t="inlineStr">
        <is>
          <t>BOOK</t>
        </is>
      </c>
      <c r="BD255" t="inlineStr">
        <is>
          <t>9780962474583</t>
        </is>
      </c>
      <c r="BE255" t="inlineStr">
        <is>
          <t>30001002243709</t>
        </is>
      </c>
      <c r="BF255" t="inlineStr">
        <is>
          <t>893546317</t>
        </is>
      </c>
    </row>
    <row r="256">
      <c r="A256" t="inlineStr">
        <is>
          <t>No</t>
        </is>
      </c>
      <c r="B256" t="inlineStr">
        <is>
          <t>CUHSL</t>
        </is>
      </c>
      <c r="C256" t="inlineStr">
        <is>
          <t>SHELVES</t>
        </is>
      </c>
      <c r="D256" t="inlineStr">
        <is>
          <t>W 21 W567 1987</t>
        </is>
      </c>
      <c r="E256" t="inlineStr">
        <is>
          <t>0                      W  0021000W  567         1987</t>
        </is>
      </c>
      <c r="F256" t="inlineStr">
        <is>
          <t>When doctors get sick / [edited by] Harvey N. Mandell and Howard M. Spiro.</t>
        </is>
      </c>
      <c r="H256" t="inlineStr">
        <is>
          <t>No</t>
        </is>
      </c>
      <c r="I256" t="inlineStr">
        <is>
          <t>1</t>
        </is>
      </c>
      <c r="J256" t="inlineStr">
        <is>
          <t>No</t>
        </is>
      </c>
      <c r="K256" t="inlineStr">
        <is>
          <t>No</t>
        </is>
      </c>
      <c r="L256" t="inlineStr">
        <is>
          <t>0</t>
        </is>
      </c>
      <c r="N256" t="inlineStr">
        <is>
          <t>New York : Plenum Medical Book Co., c1987.</t>
        </is>
      </c>
      <c r="O256" t="inlineStr">
        <is>
          <t>1987</t>
        </is>
      </c>
      <c r="Q256" t="inlineStr">
        <is>
          <t>eng</t>
        </is>
      </c>
      <c r="R256" t="inlineStr">
        <is>
          <t>xxu</t>
        </is>
      </c>
      <c r="T256" t="inlineStr">
        <is>
          <t xml:space="preserve">W  </t>
        </is>
      </c>
      <c r="U256" t="n">
        <v>4</v>
      </c>
      <c r="V256" t="n">
        <v>4</v>
      </c>
      <c r="W256" t="inlineStr">
        <is>
          <t>2003-08-07</t>
        </is>
      </c>
      <c r="X256" t="inlineStr">
        <is>
          <t>2003-08-07</t>
        </is>
      </c>
      <c r="Y256" t="inlineStr">
        <is>
          <t>1987-12-09</t>
        </is>
      </c>
      <c r="Z256" t="inlineStr">
        <is>
          <t>1987-12-09</t>
        </is>
      </c>
      <c r="AA256" t="n">
        <v>313</v>
      </c>
      <c r="AB256" t="n">
        <v>249</v>
      </c>
      <c r="AC256" t="n">
        <v>273</v>
      </c>
      <c r="AD256" t="n">
        <v>1</v>
      </c>
      <c r="AE256" t="n">
        <v>1</v>
      </c>
      <c r="AF256" t="n">
        <v>9</v>
      </c>
      <c r="AG256" t="n">
        <v>9</v>
      </c>
      <c r="AH256" t="n">
        <v>3</v>
      </c>
      <c r="AI256" t="n">
        <v>3</v>
      </c>
      <c r="AJ256" t="n">
        <v>3</v>
      </c>
      <c r="AK256" t="n">
        <v>3</v>
      </c>
      <c r="AL256" t="n">
        <v>4</v>
      </c>
      <c r="AM256" t="n">
        <v>4</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HYPERLINK("https://creighton-primo.hosted.exlibrisgroup.com/primo-explore/search?tab=default_tab&amp;search_scope=EVERYTHING&amp;vid=01CRU&amp;lang=en_US&amp;offset=0&amp;query=any,contains,991001533499702656","Catalog Record")</f>
        <v/>
      </c>
      <c r="AV256">
        <f>HYPERLINK("http://www.worldcat.org/oclc/15789505","WorldCat Record")</f>
        <v/>
      </c>
      <c r="AW256" t="inlineStr">
        <is>
          <t>499440912:eng</t>
        </is>
      </c>
      <c r="AX256" t="inlineStr">
        <is>
          <t>15789505</t>
        </is>
      </c>
      <c r="AY256" t="inlineStr">
        <is>
          <t>991001533499702656</t>
        </is>
      </c>
      <c r="AZ256" t="inlineStr">
        <is>
          <t>991001533499702656</t>
        </is>
      </c>
      <c r="BA256" t="inlineStr">
        <is>
          <t>2265596350002656</t>
        </is>
      </c>
      <c r="BB256" t="inlineStr">
        <is>
          <t>BOOK</t>
        </is>
      </c>
      <c r="BD256" t="inlineStr">
        <is>
          <t>9780306426537</t>
        </is>
      </c>
      <c r="BE256" t="inlineStr">
        <is>
          <t>30001000622227</t>
        </is>
      </c>
      <c r="BF256" t="inlineStr">
        <is>
          <t>893455910</t>
        </is>
      </c>
    </row>
    <row r="257">
      <c r="A257" t="inlineStr">
        <is>
          <t>No</t>
        </is>
      </c>
      <c r="B257" t="inlineStr">
        <is>
          <t>CUHSL</t>
        </is>
      </c>
      <c r="C257" t="inlineStr">
        <is>
          <t>SHELVES</t>
        </is>
      </c>
      <c r="D257" t="inlineStr">
        <is>
          <t>W 21 Y17 2003</t>
        </is>
      </c>
      <c r="E257" t="inlineStr">
        <is>
          <t>0                      W  0021000Y  17          2003</t>
        </is>
      </c>
      <c r="F257" t="inlineStr">
        <is>
          <t>The Yale guide to careers in medicine &amp; the health professions : pathways to medicine in the twenty-first century / edited by Robert M. Donaldson, Kathleen S. Lundgren, Howard M. Spiro.</t>
        </is>
      </c>
      <c r="H257" t="inlineStr">
        <is>
          <t>No</t>
        </is>
      </c>
      <c r="I257" t="inlineStr">
        <is>
          <t>1</t>
        </is>
      </c>
      <c r="J257" t="inlineStr">
        <is>
          <t>No</t>
        </is>
      </c>
      <c r="K257" t="inlineStr">
        <is>
          <t>No</t>
        </is>
      </c>
      <c r="L257" t="inlineStr">
        <is>
          <t>0</t>
        </is>
      </c>
      <c r="N257" t="inlineStr">
        <is>
          <t>New Haven : Yale University Press, c2003.</t>
        </is>
      </c>
      <c r="O257" t="inlineStr">
        <is>
          <t>2003</t>
        </is>
      </c>
      <c r="Q257" t="inlineStr">
        <is>
          <t>eng</t>
        </is>
      </c>
      <c r="R257" t="inlineStr">
        <is>
          <t>ctu</t>
        </is>
      </c>
      <c r="S257" t="inlineStr">
        <is>
          <t>Yale ISPS series</t>
        </is>
      </c>
      <c r="T257" t="inlineStr">
        <is>
          <t xml:space="preserve">W  </t>
        </is>
      </c>
      <c r="U257" t="n">
        <v>3</v>
      </c>
      <c r="V257" t="n">
        <v>3</v>
      </c>
      <c r="W257" t="inlineStr">
        <is>
          <t>2007-02-25</t>
        </is>
      </c>
      <c r="X257" t="inlineStr">
        <is>
          <t>2007-02-25</t>
        </is>
      </c>
      <c r="Y257" t="inlineStr">
        <is>
          <t>2004-09-16</t>
        </is>
      </c>
      <c r="Z257" t="inlineStr">
        <is>
          <t>2004-09-16</t>
        </is>
      </c>
      <c r="AA257" t="n">
        <v>542</v>
      </c>
      <c r="AB257" t="n">
        <v>507</v>
      </c>
      <c r="AC257" t="n">
        <v>525</v>
      </c>
      <c r="AD257" t="n">
        <v>2</v>
      </c>
      <c r="AE257" t="n">
        <v>2</v>
      </c>
      <c r="AF257" t="n">
        <v>17</v>
      </c>
      <c r="AG257" t="n">
        <v>17</v>
      </c>
      <c r="AH257" t="n">
        <v>8</v>
      </c>
      <c r="AI257" t="n">
        <v>8</v>
      </c>
      <c r="AJ257" t="n">
        <v>6</v>
      </c>
      <c r="AK257" t="n">
        <v>6</v>
      </c>
      <c r="AL257" t="n">
        <v>9</v>
      </c>
      <c r="AM257" t="n">
        <v>9</v>
      </c>
      <c r="AN257" t="n">
        <v>1</v>
      </c>
      <c r="AO257" t="n">
        <v>1</v>
      </c>
      <c r="AP257" t="n">
        <v>0</v>
      </c>
      <c r="AQ257" t="n">
        <v>0</v>
      </c>
      <c r="AR257" t="inlineStr">
        <is>
          <t>No</t>
        </is>
      </c>
      <c r="AS257" t="inlineStr">
        <is>
          <t>No</t>
        </is>
      </c>
      <c r="AU257">
        <f>HYPERLINK("https://creighton-primo.hosted.exlibrisgroup.com/primo-explore/search?tab=default_tab&amp;search_scope=EVERYTHING&amp;vid=01CRU&amp;lang=en_US&amp;offset=0&amp;query=any,contains,991000391609702656","Catalog Record")</f>
        <v/>
      </c>
      <c r="AV257">
        <f>HYPERLINK("http://www.worldcat.org/oclc/50155637","WorldCat Record")</f>
        <v/>
      </c>
      <c r="AW257" t="inlineStr">
        <is>
          <t>2865897973:eng</t>
        </is>
      </c>
      <c r="AX257" t="inlineStr">
        <is>
          <t>50155637</t>
        </is>
      </c>
      <c r="AY257" t="inlineStr">
        <is>
          <t>991000391609702656</t>
        </is>
      </c>
      <c r="AZ257" t="inlineStr">
        <is>
          <t>991000391609702656</t>
        </is>
      </c>
      <c r="BA257" t="inlineStr">
        <is>
          <t>2268857590002656</t>
        </is>
      </c>
      <c r="BB257" t="inlineStr">
        <is>
          <t>BOOK</t>
        </is>
      </c>
      <c r="BD257" t="inlineStr">
        <is>
          <t>9780300095425</t>
        </is>
      </c>
      <c r="BE257" t="inlineStr">
        <is>
          <t>30001004977379</t>
        </is>
      </c>
      <c r="BF257" t="inlineStr">
        <is>
          <t>893832789</t>
        </is>
      </c>
    </row>
    <row r="258">
      <c r="A258" t="inlineStr">
        <is>
          <t>No</t>
        </is>
      </c>
      <c r="B258" t="inlineStr">
        <is>
          <t>CUHSL</t>
        </is>
      </c>
      <c r="C258" t="inlineStr">
        <is>
          <t>SHELVES</t>
        </is>
      </c>
      <c r="D258" t="inlineStr">
        <is>
          <t>W21 Y45p 1998</t>
        </is>
      </c>
      <c r="E258" t="inlineStr">
        <is>
          <t>0                      W  0021000Y  45p         1998</t>
        </is>
      </c>
      <c r="F258" t="inlineStr">
        <is>
          <t>The physician's resume and cover letter workbook / [Sharon L. Yenney].</t>
        </is>
      </c>
      <c r="H258" t="inlineStr">
        <is>
          <t>No</t>
        </is>
      </c>
      <c r="I258" t="inlineStr">
        <is>
          <t>1</t>
        </is>
      </c>
      <c r="J258" t="inlineStr">
        <is>
          <t>No</t>
        </is>
      </c>
      <c r="K258" t="inlineStr">
        <is>
          <t>No</t>
        </is>
      </c>
      <c r="L258" t="inlineStr">
        <is>
          <t>0</t>
        </is>
      </c>
      <c r="M258" t="inlineStr">
        <is>
          <t>Yenney, Sharon.</t>
        </is>
      </c>
      <c r="N258" t="inlineStr">
        <is>
          <t>Chicago, Ill. : American Medical Association, c1998.</t>
        </is>
      </c>
      <c r="O258" t="inlineStr">
        <is>
          <t>1998</t>
        </is>
      </c>
      <c r="Q258" t="inlineStr">
        <is>
          <t>eng</t>
        </is>
      </c>
      <c r="R258" t="inlineStr">
        <is>
          <t>ilu</t>
        </is>
      </c>
      <c r="T258" t="inlineStr">
        <is>
          <t xml:space="preserve">W  </t>
        </is>
      </c>
      <c r="U258" t="n">
        <v>8</v>
      </c>
      <c r="V258" t="n">
        <v>8</v>
      </c>
      <c r="W258" t="inlineStr">
        <is>
          <t>2006-08-21</t>
        </is>
      </c>
      <c r="X258" t="inlineStr">
        <is>
          <t>2006-08-21</t>
        </is>
      </c>
      <c r="Y258" t="inlineStr">
        <is>
          <t>2002-07-09</t>
        </is>
      </c>
      <c r="Z258" t="inlineStr">
        <is>
          <t>2002-07-09</t>
        </is>
      </c>
      <c r="AA258" t="n">
        <v>34</v>
      </c>
      <c r="AB258" t="n">
        <v>32</v>
      </c>
      <c r="AC258" t="n">
        <v>114</v>
      </c>
      <c r="AD258" t="n">
        <v>1</v>
      </c>
      <c r="AE258" t="n">
        <v>1</v>
      </c>
      <c r="AF258" t="n">
        <v>0</v>
      </c>
      <c r="AG258" t="n">
        <v>1</v>
      </c>
      <c r="AH258" t="n">
        <v>0</v>
      </c>
      <c r="AI258" t="n">
        <v>0</v>
      </c>
      <c r="AJ258" t="n">
        <v>0</v>
      </c>
      <c r="AK258" t="n">
        <v>0</v>
      </c>
      <c r="AL258" t="n">
        <v>0</v>
      </c>
      <c r="AM258" t="n">
        <v>1</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HYPERLINK("https://creighton-primo.hosted.exlibrisgroup.com/primo-explore/search?tab=default_tab&amp;search_scope=EVERYTHING&amp;vid=01CRU&amp;lang=en_US&amp;offset=0&amp;query=any,contains,991000324399702656","Catalog Record")</f>
        <v/>
      </c>
      <c r="AV258">
        <f>HYPERLINK("http://www.worldcat.org/oclc/44425695","WorldCat Record")</f>
        <v/>
      </c>
      <c r="AW258" t="inlineStr">
        <is>
          <t>652745:eng</t>
        </is>
      </c>
      <c r="AX258" t="inlineStr">
        <is>
          <t>44425695</t>
        </is>
      </c>
      <c r="AY258" t="inlineStr">
        <is>
          <t>991000324399702656</t>
        </is>
      </c>
      <c r="AZ258" t="inlineStr">
        <is>
          <t>991000324399702656</t>
        </is>
      </c>
      <c r="BA258" t="inlineStr">
        <is>
          <t>22101747550002656</t>
        </is>
      </c>
      <c r="BB258" t="inlineStr">
        <is>
          <t>BOOK</t>
        </is>
      </c>
      <c r="BD258" t="inlineStr">
        <is>
          <t>9780899708881</t>
        </is>
      </c>
      <c r="BE258" t="inlineStr">
        <is>
          <t>30001004442713</t>
        </is>
      </c>
      <c r="BF258" t="inlineStr">
        <is>
          <t>893644238</t>
        </is>
      </c>
    </row>
    <row r="259">
      <c r="A259" t="inlineStr">
        <is>
          <t>No</t>
        </is>
      </c>
      <c r="B259" t="inlineStr">
        <is>
          <t>CUHSL</t>
        </is>
      </c>
      <c r="C259" t="inlineStr">
        <is>
          <t>SHELVES</t>
        </is>
      </c>
      <c r="D259" t="inlineStr">
        <is>
          <t>W21.5 K27m 2003</t>
        </is>
      </c>
      <c r="E259" t="inlineStr">
        <is>
          <t>0                      W  0021500K  27m         2003</t>
        </is>
      </c>
      <c r="F259" t="inlineStr">
        <is>
          <t>Medical assisting : administrative and clinical competencies / Lucille Keir, Barbara A. Wise, Connie Krebs.</t>
        </is>
      </c>
      <c r="H259" t="inlineStr">
        <is>
          <t>No</t>
        </is>
      </c>
      <c r="I259" t="inlineStr">
        <is>
          <t>1</t>
        </is>
      </c>
      <c r="J259" t="inlineStr">
        <is>
          <t>No</t>
        </is>
      </c>
      <c r="K259" t="inlineStr">
        <is>
          <t>No</t>
        </is>
      </c>
      <c r="L259" t="inlineStr">
        <is>
          <t>0</t>
        </is>
      </c>
      <c r="M259" t="inlineStr">
        <is>
          <t>Keir, Lucille.</t>
        </is>
      </c>
      <c r="N259" t="inlineStr">
        <is>
          <t>Clifton Park, NY : Thomson/Delmar Learning, c2003.</t>
        </is>
      </c>
      <c r="O259" t="inlineStr">
        <is>
          <t>2003</t>
        </is>
      </c>
      <c r="P259" t="inlineStr">
        <is>
          <t>5th ed.</t>
        </is>
      </c>
      <c r="Q259" t="inlineStr">
        <is>
          <t>eng</t>
        </is>
      </c>
      <c r="R259" t="inlineStr">
        <is>
          <t>nyu</t>
        </is>
      </c>
      <c r="T259" t="inlineStr">
        <is>
          <t xml:space="preserve">W  </t>
        </is>
      </c>
      <c r="U259" t="n">
        <v>0</v>
      </c>
      <c r="V259" t="n">
        <v>0</v>
      </c>
      <c r="W259" t="inlineStr">
        <is>
          <t>2003-02-03</t>
        </is>
      </c>
      <c r="X259" t="inlineStr">
        <is>
          <t>2003-02-03</t>
        </is>
      </c>
      <c r="Y259" t="inlineStr">
        <is>
          <t>2003-02-03</t>
        </is>
      </c>
      <c r="Z259" t="inlineStr">
        <is>
          <t>2003-02-03</t>
        </is>
      </c>
      <c r="AA259" t="n">
        <v>113</v>
      </c>
      <c r="AB259" t="n">
        <v>99</v>
      </c>
      <c r="AC259" t="n">
        <v>356</v>
      </c>
      <c r="AD259" t="n">
        <v>1</v>
      </c>
      <c r="AE259" t="n">
        <v>1</v>
      </c>
      <c r="AF259" t="n">
        <v>0</v>
      </c>
      <c r="AG259" t="n">
        <v>2</v>
      </c>
      <c r="AH259" t="n">
        <v>0</v>
      </c>
      <c r="AI259" t="n">
        <v>0</v>
      </c>
      <c r="AJ259" t="n">
        <v>0</v>
      </c>
      <c r="AK259" t="n">
        <v>2</v>
      </c>
      <c r="AL259" t="n">
        <v>0</v>
      </c>
      <c r="AM259" t="n">
        <v>1</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HYPERLINK("https://creighton-primo.hosted.exlibrisgroup.com/primo-explore/search?tab=default_tab&amp;search_scope=EVERYTHING&amp;vid=01CRU&amp;lang=en_US&amp;offset=0&amp;query=any,contains,991000338639702656","Catalog Record")</f>
        <v/>
      </c>
      <c r="AV259">
        <f>HYPERLINK("http://www.worldcat.org/oclc/49526883","WorldCat Record")</f>
        <v/>
      </c>
      <c r="AW259" t="inlineStr">
        <is>
          <t>1047903:eng</t>
        </is>
      </c>
      <c r="AX259" t="inlineStr">
        <is>
          <t>49526883</t>
        </is>
      </c>
      <c r="AY259" t="inlineStr">
        <is>
          <t>991000338639702656</t>
        </is>
      </c>
      <c r="AZ259" t="inlineStr">
        <is>
          <t>991000338639702656</t>
        </is>
      </c>
      <c r="BA259" t="inlineStr">
        <is>
          <t>2272673130002656</t>
        </is>
      </c>
      <c r="BB259" t="inlineStr">
        <is>
          <t>BOOK</t>
        </is>
      </c>
      <c r="BD259" t="inlineStr">
        <is>
          <t>9780766841468</t>
        </is>
      </c>
      <c r="BE259" t="inlineStr">
        <is>
          <t>30001004501658</t>
        </is>
      </c>
      <c r="BF259" t="inlineStr">
        <is>
          <t>893269367</t>
        </is>
      </c>
    </row>
    <row r="260">
      <c r="A260" t="inlineStr">
        <is>
          <t>No</t>
        </is>
      </c>
      <c r="B260" t="inlineStr">
        <is>
          <t>CUHSL</t>
        </is>
      </c>
      <c r="C260" t="inlineStr">
        <is>
          <t>SHELVES</t>
        </is>
      </c>
      <c r="D260" t="inlineStr">
        <is>
          <t>W 21.5 L473h 1987</t>
        </is>
      </c>
      <c r="E260" t="inlineStr">
        <is>
          <t>0                      W  0021500L  473h        1987</t>
        </is>
      </c>
      <c r="F260" t="inlineStr">
        <is>
          <t>Health career planning : a realistic guide / by Ellen Lederman.</t>
        </is>
      </c>
      <c r="H260" t="inlineStr">
        <is>
          <t>No</t>
        </is>
      </c>
      <c r="I260" t="inlineStr">
        <is>
          <t>1</t>
        </is>
      </c>
      <c r="J260" t="inlineStr">
        <is>
          <t>No</t>
        </is>
      </c>
      <c r="K260" t="inlineStr">
        <is>
          <t>No</t>
        </is>
      </c>
      <c r="L260" t="inlineStr">
        <is>
          <t>0</t>
        </is>
      </c>
      <c r="M260" t="inlineStr">
        <is>
          <t>Lederman, Ellen F.</t>
        </is>
      </c>
      <c r="N260" t="inlineStr">
        <is>
          <t>New York, N.Y. : Human Sciences Press, c1987.</t>
        </is>
      </c>
      <c r="O260" t="inlineStr">
        <is>
          <t>1987</t>
        </is>
      </c>
      <c r="Q260" t="inlineStr">
        <is>
          <t>eng</t>
        </is>
      </c>
      <c r="R260" t="inlineStr">
        <is>
          <t>xxu</t>
        </is>
      </c>
      <c r="T260" t="inlineStr">
        <is>
          <t xml:space="preserve">W  </t>
        </is>
      </c>
      <c r="U260" t="n">
        <v>9</v>
      </c>
      <c r="V260" t="n">
        <v>9</v>
      </c>
      <c r="W260" t="inlineStr">
        <is>
          <t>1996-02-28</t>
        </is>
      </c>
      <c r="X260" t="inlineStr">
        <is>
          <t>1996-02-28</t>
        </is>
      </c>
      <c r="Y260" t="inlineStr">
        <is>
          <t>1988-07-07</t>
        </is>
      </c>
      <c r="Z260" t="inlineStr">
        <is>
          <t>1988-07-07</t>
        </is>
      </c>
      <c r="AA260" t="n">
        <v>181</v>
      </c>
      <c r="AB260" t="n">
        <v>165</v>
      </c>
      <c r="AC260" t="n">
        <v>172</v>
      </c>
      <c r="AD260" t="n">
        <v>2</v>
      </c>
      <c r="AE260" t="n">
        <v>2</v>
      </c>
      <c r="AF260" t="n">
        <v>3</v>
      </c>
      <c r="AG260" t="n">
        <v>3</v>
      </c>
      <c r="AH260" t="n">
        <v>2</v>
      </c>
      <c r="AI260" t="n">
        <v>2</v>
      </c>
      <c r="AJ260" t="n">
        <v>0</v>
      </c>
      <c r="AK260" t="n">
        <v>0</v>
      </c>
      <c r="AL260" t="n">
        <v>3</v>
      </c>
      <c r="AM260" t="n">
        <v>3</v>
      </c>
      <c r="AN260" t="n">
        <v>0</v>
      </c>
      <c r="AO260" t="n">
        <v>0</v>
      </c>
      <c r="AP260" t="n">
        <v>0</v>
      </c>
      <c r="AQ260" t="n">
        <v>0</v>
      </c>
      <c r="AR260" t="inlineStr">
        <is>
          <t>No</t>
        </is>
      </c>
      <c r="AS260" t="inlineStr">
        <is>
          <t>Yes</t>
        </is>
      </c>
      <c r="AT260">
        <f>HYPERLINK("http://catalog.hathitrust.org/Record/001083388","HathiTrust Record")</f>
        <v/>
      </c>
      <c r="AU260">
        <f>HYPERLINK("https://creighton-primo.hosted.exlibrisgroup.com/primo-explore/search?tab=default_tab&amp;search_scope=EVERYTHING&amp;vid=01CRU&amp;lang=en_US&amp;offset=0&amp;query=any,contains,991001418369702656","Catalog Record")</f>
        <v/>
      </c>
      <c r="AV260">
        <f>HYPERLINK("http://www.worldcat.org/oclc/16276388","WorldCat Record")</f>
        <v/>
      </c>
      <c r="AW260" t="inlineStr">
        <is>
          <t>12296185:eng</t>
        </is>
      </c>
      <c r="AX260" t="inlineStr">
        <is>
          <t>16276388</t>
        </is>
      </c>
      <c r="AY260" t="inlineStr">
        <is>
          <t>991001418369702656</t>
        </is>
      </c>
      <c r="AZ260" t="inlineStr">
        <is>
          <t>991001418369702656</t>
        </is>
      </c>
      <c r="BA260" t="inlineStr">
        <is>
          <t>2262018830002656</t>
        </is>
      </c>
      <c r="BB260" t="inlineStr">
        <is>
          <t>BOOK</t>
        </is>
      </c>
      <c r="BD260" t="inlineStr">
        <is>
          <t>9780898853971</t>
        </is>
      </c>
      <c r="BE260" t="inlineStr">
        <is>
          <t>30001001181439</t>
        </is>
      </c>
      <c r="BF260" t="inlineStr">
        <is>
          <t>893743774</t>
        </is>
      </c>
    </row>
    <row r="261">
      <c r="A261" t="inlineStr">
        <is>
          <t>No</t>
        </is>
      </c>
      <c r="B261" t="inlineStr">
        <is>
          <t>CUHSL</t>
        </is>
      </c>
      <c r="C261" t="inlineStr">
        <is>
          <t>SHELVES</t>
        </is>
      </c>
      <c r="D261" t="inlineStr">
        <is>
          <t>W 21.5 M654u 1998</t>
        </is>
      </c>
      <c r="E261" t="inlineStr">
        <is>
          <t>0                      W  0021500M  654u        1998</t>
        </is>
      </c>
      <c r="F261" t="inlineStr">
        <is>
          <t>Understanding human behavior : a guide for health care providers / Mary Elizabeth Milliken.</t>
        </is>
      </c>
      <c r="H261" t="inlineStr">
        <is>
          <t>No</t>
        </is>
      </c>
      <c r="I261" t="inlineStr">
        <is>
          <t>1</t>
        </is>
      </c>
      <c r="J261" t="inlineStr">
        <is>
          <t>No</t>
        </is>
      </c>
      <c r="K261" t="inlineStr">
        <is>
          <t>No</t>
        </is>
      </c>
      <c r="L261" t="inlineStr">
        <is>
          <t>0</t>
        </is>
      </c>
      <c r="M261" t="inlineStr">
        <is>
          <t>Milliken, Mary Elizabeth.</t>
        </is>
      </c>
      <c r="N261" t="inlineStr">
        <is>
          <t>Albany : Delmar, c1998.</t>
        </is>
      </c>
      <c r="O261" t="inlineStr">
        <is>
          <t>1998</t>
        </is>
      </c>
      <c r="P261" t="inlineStr">
        <is>
          <t>6th ed.</t>
        </is>
      </c>
      <c r="Q261" t="inlineStr">
        <is>
          <t>eng</t>
        </is>
      </c>
      <c r="R261" t="inlineStr">
        <is>
          <t>nyu</t>
        </is>
      </c>
      <c r="T261" t="inlineStr">
        <is>
          <t xml:space="preserve">W  </t>
        </is>
      </c>
      <c r="U261" t="n">
        <v>3</v>
      </c>
      <c r="V261" t="n">
        <v>3</v>
      </c>
      <c r="W261" t="inlineStr">
        <is>
          <t>1999-08-19</t>
        </is>
      </c>
      <c r="X261" t="inlineStr">
        <is>
          <t>1999-08-19</t>
        </is>
      </c>
      <c r="Y261" t="inlineStr">
        <is>
          <t>1997-10-14</t>
        </is>
      </c>
      <c r="Z261" t="inlineStr">
        <is>
          <t>1997-10-14</t>
        </is>
      </c>
      <c r="AA261" t="n">
        <v>192</v>
      </c>
      <c r="AB261" t="n">
        <v>159</v>
      </c>
      <c r="AC261" t="n">
        <v>1201</v>
      </c>
      <c r="AD261" t="n">
        <v>1</v>
      </c>
      <c r="AE261" t="n">
        <v>4</v>
      </c>
      <c r="AF261" t="n">
        <v>2</v>
      </c>
      <c r="AG261" t="n">
        <v>22</v>
      </c>
      <c r="AH261" t="n">
        <v>1</v>
      </c>
      <c r="AI261" t="n">
        <v>13</v>
      </c>
      <c r="AJ261" t="n">
        <v>1</v>
      </c>
      <c r="AK261" t="n">
        <v>2</v>
      </c>
      <c r="AL261" t="n">
        <v>1</v>
      </c>
      <c r="AM261" t="n">
        <v>9</v>
      </c>
      <c r="AN261" t="n">
        <v>0</v>
      </c>
      <c r="AO261" t="n">
        <v>2</v>
      </c>
      <c r="AP261" t="n">
        <v>0</v>
      </c>
      <c r="AQ261" t="n">
        <v>0</v>
      </c>
      <c r="AR261" t="inlineStr">
        <is>
          <t>No</t>
        </is>
      </c>
      <c r="AS261" t="inlineStr">
        <is>
          <t>No</t>
        </is>
      </c>
      <c r="AU261">
        <f>HYPERLINK("https://creighton-primo.hosted.exlibrisgroup.com/primo-explore/search?tab=default_tab&amp;search_scope=EVERYTHING&amp;vid=01CRU&amp;lang=en_US&amp;offset=0&amp;query=any,contains,991001140039702656","Catalog Record")</f>
        <v/>
      </c>
      <c r="AV261">
        <f>HYPERLINK("http://www.worldcat.org/oclc/36768438","WorldCat Record")</f>
        <v/>
      </c>
      <c r="AW261" t="inlineStr">
        <is>
          <t>755852:eng</t>
        </is>
      </c>
      <c r="AX261" t="inlineStr">
        <is>
          <t>36768438</t>
        </is>
      </c>
      <c r="AY261" t="inlineStr">
        <is>
          <t>991001140039702656</t>
        </is>
      </c>
      <c r="AZ261" t="inlineStr">
        <is>
          <t>991001140039702656</t>
        </is>
      </c>
      <c r="BA261" t="inlineStr">
        <is>
          <t>2261682290002656</t>
        </is>
      </c>
      <c r="BB261" t="inlineStr">
        <is>
          <t>BOOK</t>
        </is>
      </c>
      <c r="BD261" t="inlineStr">
        <is>
          <t>9780827382213</t>
        </is>
      </c>
      <c r="BE261" t="inlineStr">
        <is>
          <t>30001003629328</t>
        </is>
      </c>
      <c r="BF261" t="inlineStr">
        <is>
          <t>893148894</t>
        </is>
      </c>
    </row>
    <row r="262">
      <c r="A262" t="inlineStr">
        <is>
          <t>No</t>
        </is>
      </c>
      <c r="B262" t="inlineStr">
        <is>
          <t>CUHSL</t>
        </is>
      </c>
      <c r="C262" t="inlineStr">
        <is>
          <t>SHELVES</t>
        </is>
      </c>
      <c r="D262" t="inlineStr">
        <is>
          <t>W 21.5 N362a 1991</t>
        </is>
      </c>
      <c r="E262" t="inlineStr">
        <is>
          <t>0                      W  0021500N  362a        1991</t>
        </is>
      </c>
      <c r="F262" t="inlineStr">
        <is>
          <t>Nebraska health manpower reports : speech pathologists - 1991, audiologists - 1991, hearing aid instrument dispensers &amp; fitters - 1991 / prepared by the Nebraska Department of Health, Division of Health Data Systems with the cooperation of the Bureau of Examining Boards ; Mark B. Horton, Director of Health.</t>
        </is>
      </c>
      <c r="H262" t="inlineStr">
        <is>
          <t>No</t>
        </is>
      </c>
      <c r="I262" t="inlineStr">
        <is>
          <t>1</t>
        </is>
      </c>
      <c r="J262" t="inlineStr">
        <is>
          <t>No</t>
        </is>
      </c>
      <c r="K262" t="inlineStr">
        <is>
          <t>No</t>
        </is>
      </c>
      <c r="L262" t="inlineStr">
        <is>
          <t>0</t>
        </is>
      </c>
      <c r="N262" t="inlineStr">
        <is>
          <t>Lincoln : Nebraska Dept. of Health, c1991.</t>
        </is>
      </c>
      <c r="O262" t="inlineStr">
        <is>
          <t>1991</t>
        </is>
      </c>
      <c r="Q262" t="inlineStr">
        <is>
          <t>eng</t>
        </is>
      </c>
      <c r="R262" t="inlineStr">
        <is>
          <t>nbu</t>
        </is>
      </c>
      <c r="S262" t="inlineStr">
        <is>
          <t>Nebraska health manpower reports</t>
        </is>
      </c>
      <c r="T262" t="inlineStr">
        <is>
          <t xml:space="preserve">W  </t>
        </is>
      </c>
      <c r="U262" t="n">
        <v>3</v>
      </c>
      <c r="V262" t="n">
        <v>3</v>
      </c>
      <c r="W262" t="inlineStr">
        <is>
          <t>1991-12-13</t>
        </is>
      </c>
      <c r="X262" t="inlineStr">
        <is>
          <t>1991-12-13</t>
        </is>
      </c>
      <c r="Y262" t="inlineStr">
        <is>
          <t>1991-12-13</t>
        </is>
      </c>
      <c r="Z262" t="inlineStr">
        <is>
          <t>1991-12-13</t>
        </is>
      </c>
      <c r="AA262" t="n">
        <v>4</v>
      </c>
      <c r="AB262" t="n">
        <v>4</v>
      </c>
      <c r="AC262" t="n">
        <v>5</v>
      </c>
      <c r="AD262" t="n">
        <v>3</v>
      </c>
      <c r="AE262" t="n">
        <v>4</v>
      </c>
      <c r="AF262" t="n">
        <v>1</v>
      </c>
      <c r="AG262" t="n">
        <v>2</v>
      </c>
      <c r="AH262" t="n">
        <v>0</v>
      </c>
      <c r="AI262" t="n">
        <v>0</v>
      </c>
      <c r="AJ262" t="n">
        <v>0</v>
      </c>
      <c r="AK262" t="n">
        <v>0</v>
      </c>
      <c r="AL262" t="n">
        <v>0</v>
      </c>
      <c r="AM262" t="n">
        <v>0</v>
      </c>
      <c r="AN262" t="n">
        <v>1</v>
      </c>
      <c r="AO262" t="n">
        <v>2</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HYPERLINK("https://creighton-primo.hosted.exlibrisgroup.com/primo-explore/search?tab=default_tab&amp;search_scope=EVERYTHING&amp;vid=01CRU&amp;lang=en_US&amp;offset=0&amp;query=any,contains,991001026959702656","Catalog Record")</f>
        <v/>
      </c>
      <c r="AV262">
        <f>HYPERLINK("http://www.worldcat.org/oclc/24927153","WorldCat Record")</f>
        <v/>
      </c>
      <c r="AW262" t="inlineStr">
        <is>
          <t>476277395:eng</t>
        </is>
      </c>
      <c r="AX262" t="inlineStr">
        <is>
          <t>24927153</t>
        </is>
      </c>
      <c r="AY262" t="inlineStr">
        <is>
          <t>991001026959702656</t>
        </is>
      </c>
      <c r="AZ262" t="inlineStr">
        <is>
          <t>991001026959702656</t>
        </is>
      </c>
      <c r="BA262" t="inlineStr">
        <is>
          <t>2264157150002656</t>
        </is>
      </c>
      <c r="BB262" t="inlineStr">
        <is>
          <t>BOOK</t>
        </is>
      </c>
      <c r="BE262" t="inlineStr">
        <is>
          <t>30001002242909</t>
        </is>
      </c>
      <c r="BF262" t="inlineStr">
        <is>
          <t>893134194</t>
        </is>
      </c>
    </row>
    <row r="263">
      <c r="A263" t="inlineStr">
        <is>
          <t>No</t>
        </is>
      </c>
      <c r="B263" t="inlineStr">
        <is>
          <t>CUHSL</t>
        </is>
      </c>
      <c r="C263" t="inlineStr">
        <is>
          <t>SHELVES</t>
        </is>
      </c>
      <c r="D263" t="inlineStr">
        <is>
          <t>W 21.5 N362d 1987/90</t>
        </is>
      </c>
      <c r="E263" t="inlineStr">
        <is>
          <t>0                      W  0021500N  362d        1987                                        90</t>
        </is>
      </c>
      <c r="F263" t="inlineStr">
        <is>
          <t>Nebraska health manpower reports : dentists 1989, dental hygenists 1987, pharmacists 1990 / prepared by Nebraska Department of Health, Division of Health Data Systems with the cooperation of the Bureau of Examining Boards ; Gregg F. Wright, Director of Health.</t>
        </is>
      </c>
      <c r="H263" t="inlineStr">
        <is>
          <t>No</t>
        </is>
      </c>
      <c r="I263" t="inlineStr">
        <is>
          <t>1</t>
        </is>
      </c>
      <c r="J263" t="inlineStr">
        <is>
          <t>No</t>
        </is>
      </c>
      <c r="K263" t="inlineStr">
        <is>
          <t>No</t>
        </is>
      </c>
      <c r="L263" t="inlineStr">
        <is>
          <t>0</t>
        </is>
      </c>
      <c r="N263" t="inlineStr">
        <is>
          <t>Lincoln : Nebraska Dept. of Health, Division of Health Data Systems, 1990.</t>
        </is>
      </c>
      <c r="O263" t="inlineStr">
        <is>
          <t>1990</t>
        </is>
      </c>
      <c r="Q263" t="inlineStr">
        <is>
          <t>eng</t>
        </is>
      </c>
      <c r="R263" t="inlineStr">
        <is>
          <t>nbu</t>
        </is>
      </c>
      <c r="T263" t="inlineStr">
        <is>
          <t xml:space="preserve">W  </t>
        </is>
      </c>
      <c r="U263" t="n">
        <v>2</v>
      </c>
      <c r="V263" t="n">
        <v>2</v>
      </c>
      <c r="W263" t="inlineStr">
        <is>
          <t>1992-07-29</t>
        </is>
      </c>
      <c r="X263" t="inlineStr">
        <is>
          <t>1992-07-29</t>
        </is>
      </c>
      <c r="Y263" t="inlineStr">
        <is>
          <t>1990-11-05</t>
        </is>
      </c>
      <c r="Z263" t="inlineStr">
        <is>
          <t>1990-11-05</t>
        </is>
      </c>
      <c r="AA263" t="n">
        <v>4</v>
      </c>
      <c r="AB263" t="n">
        <v>4</v>
      </c>
      <c r="AC263" t="n">
        <v>4</v>
      </c>
      <c r="AD263" t="n">
        <v>3</v>
      </c>
      <c r="AE263" t="n">
        <v>3</v>
      </c>
      <c r="AF263" t="n">
        <v>1</v>
      </c>
      <c r="AG263" t="n">
        <v>1</v>
      </c>
      <c r="AH263" t="n">
        <v>0</v>
      </c>
      <c r="AI263" t="n">
        <v>0</v>
      </c>
      <c r="AJ263" t="n">
        <v>0</v>
      </c>
      <c r="AK263" t="n">
        <v>0</v>
      </c>
      <c r="AL263" t="n">
        <v>0</v>
      </c>
      <c r="AM263" t="n">
        <v>0</v>
      </c>
      <c r="AN263" t="n">
        <v>1</v>
      </c>
      <c r="AO263" t="n">
        <v>1</v>
      </c>
      <c r="AP263" t="n">
        <v>0</v>
      </c>
      <c r="AQ263" t="n">
        <v>0</v>
      </c>
      <c r="AR263" t="inlineStr">
        <is>
          <t>No</t>
        </is>
      </c>
      <c r="AS263" t="inlineStr">
        <is>
          <t>No</t>
        </is>
      </c>
      <c r="AU263">
        <f>HYPERLINK("https://creighton-primo.hosted.exlibrisgroup.com/primo-explore/search?tab=default_tab&amp;search_scope=EVERYTHING&amp;vid=01CRU&amp;lang=en_US&amp;offset=0&amp;query=any,contains,991000777909702656","Catalog Record")</f>
        <v/>
      </c>
      <c r="AV263">
        <f>HYPERLINK("http://www.worldcat.org/oclc/23077866","WorldCat Record")</f>
        <v/>
      </c>
      <c r="AW263" t="inlineStr">
        <is>
          <t>5610484321:eng</t>
        </is>
      </c>
      <c r="AX263" t="inlineStr">
        <is>
          <t>23077866</t>
        </is>
      </c>
      <c r="AY263" t="inlineStr">
        <is>
          <t>991000777909702656</t>
        </is>
      </c>
      <c r="AZ263" t="inlineStr">
        <is>
          <t>991000777909702656</t>
        </is>
      </c>
      <c r="BA263" t="inlineStr">
        <is>
          <t>2261334730002656</t>
        </is>
      </c>
      <c r="BB263" t="inlineStr">
        <is>
          <t>BOOK</t>
        </is>
      </c>
      <c r="BE263" t="inlineStr">
        <is>
          <t>30001002063552</t>
        </is>
      </c>
      <c r="BF263" t="inlineStr">
        <is>
          <t>893368518</t>
        </is>
      </c>
    </row>
    <row r="264">
      <c r="A264" t="inlineStr">
        <is>
          <t>No</t>
        </is>
      </c>
      <c r="B264" t="inlineStr">
        <is>
          <t>CUHSL</t>
        </is>
      </c>
      <c r="C264" t="inlineStr">
        <is>
          <t>SHELVES</t>
        </is>
      </c>
      <c r="D264" t="inlineStr">
        <is>
          <t>W 21.5 N362d 1991</t>
        </is>
      </c>
      <c r="E264" t="inlineStr">
        <is>
          <t>0                      W  0021500N  362d        1991</t>
        </is>
      </c>
      <c r="F264" t="inlineStr">
        <is>
          <t>Nebraska health manpower reports : dentists - 1991, dental hygienists - 1991 / prepared by Nebraska Department of Health, Division of Health Data Systems with the cooperation of the The Bureau of Examining Boards ; Mark B. Horton, Director of Health.</t>
        </is>
      </c>
      <c r="H264" t="inlineStr">
        <is>
          <t>No</t>
        </is>
      </c>
      <c r="I264" t="inlineStr">
        <is>
          <t>1</t>
        </is>
      </c>
      <c r="J264" t="inlineStr">
        <is>
          <t>No</t>
        </is>
      </c>
      <c r="K264" t="inlineStr">
        <is>
          <t>No</t>
        </is>
      </c>
      <c r="L264" t="inlineStr">
        <is>
          <t>0</t>
        </is>
      </c>
      <c r="N264" t="inlineStr">
        <is>
          <t>Lincoln : Nebraska Dept. of Health, Division of Health Data Systems, 1991.</t>
        </is>
      </c>
      <c r="O264" t="inlineStr">
        <is>
          <t>1991</t>
        </is>
      </c>
      <c r="Q264" t="inlineStr">
        <is>
          <t>eng</t>
        </is>
      </c>
      <c r="R264" t="inlineStr">
        <is>
          <t>nbu</t>
        </is>
      </c>
      <c r="S264" t="inlineStr">
        <is>
          <t>Nebraska health manpower reports</t>
        </is>
      </c>
      <c r="T264" t="inlineStr">
        <is>
          <t xml:space="preserve">W  </t>
        </is>
      </c>
      <c r="U264" t="n">
        <v>5</v>
      </c>
      <c r="V264" t="n">
        <v>5</v>
      </c>
      <c r="W264" t="inlineStr">
        <is>
          <t>1991-12-13</t>
        </is>
      </c>
      <c r="X264" t="inlineStr">
        <is>
          <t>1991-12-13</t>
        </is>
      </c>
      <c r="Y264" t="inlineStr">
        <is>
          <t>1991-12-13</t>
        </is>
      </c>
      <c r="Z264" t="inlineStr">
        <is>
          <t>1991-12-13</t>
        </is>
      </c>
      <c r="AA264" t="n">
        <v>4</v>
      </c>
      <c r="AB264" t="n">
        <v>4</v>
      </c>
      <c r="AC264" t="n">
        <v>5</v>
      </c>
      <c r="AD264" t="n">
        <v>3</v>
      </c>
      <c r="AE264" t="n">
        <v>4</v>
      </c>
      <c r="AF264" t="n">
        <v>1</v>
      </c>
      <c r="AG264" t="n">
        <v>2</v>
      </c>
      <c r="AH264" t="n">
        <v>0</v>
      </c>
      <c r="AI264" t="n">
        <v>0</v>
      </c>
      <c r="AJ264" t="n">
        <v>0</v>
      </c>
      <c r="AK264" t="n">
        <v>0</v>
      </c>
      <c r="AL264" t="n">
        <v>0</v>
      </c>
      <c r="AM264" t="n">
        <v>0</v>
      </c>
      <c r="AN264" t="n">
        <v>1</v>
      </c>
      <c r="AO264" t="n">
        <v>2</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HYPERLINK("https://creighton-primo.hosted.exlibrisgroup.com/primo-explore/search?tab=default_tab&amp;search_scope=EVERYTHING&amp;vid=01CRU&amp;lang=en_US&amp;offset=0&amp;query=any,contains,991001027019702656","Catalog Record")</f>
        <v/>
      </c>
      <c r="AV264">
        <f>HYPERLINK("http://www.worldcat.org/oclc/24927143","WorldCat Record")</f>
        <v/>
      </c>
      <c r="AW264" t="inlineStr">
        <is>
          <t>476277385:eng</t>
        </is>
      </c>
      <c r="AX264" t="inlineStr">
        <is>
          <t>24927143</t>
        </is>
      </c>
      <c r="AY264" t="inlineStr">
        <is>
          <t>991001027019702656</t>
        </is>
      </c>
      <c r="AZ264" t="inlineStr">
        <is>
          <t>991001027019702656</t>
        </is>
      </c>
      <c r="BA264" t="inlineStr">
        <is>
          <t>2264159580002656</t>
        </is>
      </c>
      <c r="BB264" t="inlineStr">
        <is>
          <t>BOOK</t>
        </is>
      </c>
      <c r="BE264" t="inlineStr">
        <is>
          <t>30001002242925</t>
        </is>
      </c>
      <c r="BF264" t="inlineStr">
        <is>
          <t>893546315</t>
        </is>
      </c>
    </row>
    <row r="265">
      <c r="A265" t="inlineStr">
        <is>
          <t>No</t>
        </is>
      </c>
      <c r="B265" t="inlineStr">
        <is>
          <t>CUHSL</t>
        </is>
      </c>
      <c r="C265" t="inlineStr">
        <is>
          <t>SHELVES</t>
        </is>
      </c>
      <c r="D265" t="inlineStr">
        <is>
          <t>W 21.5 N362n 1993</t>
        </is>
      </c>
      <c r="E265" t="inlineStr">
        <is>
          <t>0                      W  0021500N  362n        1993</t>
        </is>
      </c>
      <c r="F265" t="inlineStr">
        <is>
          <t>NPA membership directory / Nebraska Psychological Association Inc.</t>
        </is>
      </c>
      <c r="H265" t="inlineStr">
        <is>
          <t>No</t>
        </is>
      </c>
      <c r="I265" t="inlineStr">
        <is>
          <t>1</t>
        </is>
      </c>
      <c r="J265" t="inlineStr">
        <is>
          <t>No</t>
        </is>
      </c>
      <c r="K265" t="inlineStr">
        <is>
          <t>No</t>
        </is>
      </c>
      <c r="L265" t="inlineStr">
        <is>
          <t>0</t>
        </is>
      </c>
      <c r="M265" t="inlineStr">
        <is>
          <t>Nebraska Psychological Association.</t>
        </is>
      </c>
      <c r="N265" t="inlineStr">
        <is>
          <t>[Lincoln, NE : The Association, 1993]</t>
        </is>
      </c>
      <c r="O265" t="inlineStr">
        <is>
          <t>1993</t>
        </is>
      </c>
      <c r="Q265" t="inlineStr">
        <is>
          <t>eng</t>
        </is>
      </c>
      <c r="R265" t="inlineStr">
        <is>
          <t>nbu</t>
        </is>
      </c>
      <c r="T265" t="inlineStr">
        <is>
          <t xml:space="preserve">W  </t>
        </is>
      </c>
      <c r="U265" t="n">
        <v>1</v>
      </c>
      <c r="V265" t="n">
        <v>1</v>
      </c>
      <c r="W265" t="inlineStr">
        <is>
          <t>1993-09-23</t>
        </is>
      </c>
      <c r="X265" t="inlineStr">
        <is>
          <t>1993-09-23</t>
        </is>
      </c>
      <c r="Y265" t="inlineStr">
        <is>
          <t>1993-09-23</t>
        </is>
      </c>
      <c r="Z265" t="inlineStr">
        <is>
          <t>1993-09-23</t>
        </is>
      </c>
      <c r="AA265" t="n">
        <v>2</v>
      </c>
      <c r="AB265" t="n">
        <v>2</v>
      </c>
      <c r="AC265" t="n">
        <v>2</v>
      </c>
      <c r="AD265" t="n">
        <v>2</v>
      </c>
      <c r="AE265" t="n">
        <v>2</v>
      </c>
      <c r="AF265" t="n">
        <v>1</v>
      </c>
      <c r="AG265" t="n">
        <v>1</v>
      </c>
      <c r="AH265" t="n">
        <v>0</v>
      </c>
      <c r="AI265" t="n">
        <v>0</v>
      </c>
      <c r="AJ265" t="n">
        <v>0</v>
      </c>
      <c r="AK265" t="n">
        <v>0</v>
      </c>
      <c r="AL265" t="n">
        <v>0</v>
      </c>
      <c r="AM265" t="n">
        <v>0</v>
      </c>
      <c r="AN265" t="n">
        <v>1</v>
      </c>
      <c r="AO265" t="n">
        <v>1</v>
      </c>
      <c r="AP265" t="n">
        <v>0</v>
      </c>
      <c r="AQ265" t="n">
        <v>0</v>
      </c>
      <c r="AR265" t="inlineStr">
        <is>
          <t>No</t>
        </is>
      </c>
      <c r="AS265" t="inlineStr">
        <is>
          <t>No</t>
        </is>
      </c>
      <c r="AU265">
        <f>HYPERLINK("https://creighton-primo.hosted.exlibrisgroup.com/primo-explore/search?tab=default_tab&amp;search_scope=EVERYTHING&amp;vid=01CRU&amp;lang=en_US&amp;offset=0&amp;query=any,contains,991001514459702656","Catalog Record")</f>
        <v/>
      </c>
      <c r="AV265">
        <f>HYPERLINK("http://www.worldcat.org/oclc/28913572","WorldCat Record")</f>
        <v/>
      </c>
      <c r="AW265" t="inlineStr">
        <is>
          <t>31068230:eng</t>
        </is>
      </c>
      <c r="AX265" t="inlineStr">
        <is>
          <t>28913572</t>
        </is>
      </c>
      <c r="AY265" t="inlineStr">
        <is>
          <t>991001514459702656</t>
        </is>
      </c>
      <c r="AZ265" t="inlineStr">
        <is>
          <t>991001514459702656</t>
        </is>
      </c>
      <c r="BA265" t="inlineStr">
        <is>
          <t>2271325320002656</t>
        </is>
      </c>
      <c r="BB265" t="inlineStr">
        <is>
          <t>BOOK</t>
        </is>
      </c>
      <c r="BE265" t="inlineStr">
        <is>
          <t>30001002601575</t>
        </is>
      </c>
      <c r="BF265" t="inlineStr">
        <is>
          <t>893633157</t>
        </is>
      </c>
    </row>
    <row r="266">
      <c r="A266" t="inlineStr">
        <is>
          <t>No</t>
        </is>
      </c>
      <c r="B266" t="inlineStr">
        <is>
          <t>CUHSL</t>
        </is>
      </c>
      <c r="C266" t="inlineStr">
        <is>
          <t>SHELVES</t>
        </is>
      </c>
      <c r="D266" t="inlineStr">
        <is>
          <t>W 21.5 N362ph 1990</t>
        </is>
      </c>
      <c r="E266" t="inlineStr">
        <is>
          <t>0                      W  0021500N  362ph       1990</t>
        </is>
      </c>
      <c r="F266" t="inlineStr">
        <is>
          <t>Nebraska health manpower reports : physical therapists 1989, veterinarians 1988, animal technicians 1990, optometrists 1990, chiropractors 1988, podiatrists 1990, hearing aid dealers &amp; fitters 1986 / prepared by Nebraska Department of Health, Division of Health Data Systems with the cooperation of The Bureau of Examining Boards ; Gregg F. Wright, Director of Health.</t>
        </is>
      </c>
      <c r="H266" t="inlineStr">
        <is>
          <t>No</t>
        </is>
      </c>
      <c r="I266" t="inlineStr">
        <is>
          <t>1</t>
        </is>
      </c>
      <c r="J266" t="inlineStr">
        <is>
          <t>No</t>
        </is>
      </c>
      <c r="K266" t="inlineStr">
        <is>
          <t>No</t>
        </is>
      </c>
      <c r="L266" t="inlineStr">
        <is>
          <t>0</t>
        </is>
      </c>
      <c r="N266" t="inlineStr">
        <is>
          <t>Lincoln : Nebraska Dept. of Health, 1990.</t>
        </is>
      </c>
      <c r="O266" t="inlineStr">
        <is>
          <t>1990</t>
        </is>
      </c>
      <c r="Q266" t="inlineStr">
        <is>
          <t>eng</t>
        </is>
      </c>
      <c r="R266" t="inlineStr">
        <is>
          <t>nbu</t>
        </is>
      </c>
      <c r="T266" t="inlineStr">
        <is>
          <t xml:space="preserve">W  </t>
        </is>
      </c>
      <c r="U266" t="n">
        <v>5</v>
      </c>
      <c r="V266" t="n">
        <v>5</v>
      </c>
      <c r="W266" t="inlineStr">
        <is>
          <t>1996-02-19</t>
        </is>
      </c>
      <c r="X266" t="inlineStr">
        <is>
          <t>1996-02-19</t>
        </is>
      </c>
      <c r="Y266" t="inlineStr">
        <is>
          <t>1990-12-12</t>
        </is>
      </c>
      <c r="Z266" t="inlineStr">
        <is>
          <t>1990-12-12</t>
        </is>
      </c>
      <c r="AA266" t="n">
        <v>4</v>
      </c>
      <c r="AB266" t="n">
        <v>4</v>
      </c>
      <c r="AC266" t="n">
        <v>5</v>
      </c>
      <c r="AD266" t="n">
        <v>3</v>
      </c>
      <c r="AE266" t="n">
        <v>4</v>
      </c>
      <c r="AF266" t="n">
        <v>1</v>
      </c>
      <c r="AG266" t="n">
        <v>2</v>
      </c>
      <c r="AH266" t="n">
        <v>0</v>
      </c>
      <c r="AI266" t="n">
        <v>0</v>
      </c>
      <c r="AJ266" t="n">
        <v>0</v>
      </c>
      <c r="AK266" t="n">
        <v>0</v>
      </c>
      <c r="AL266" t="n">
        <v>0</v>
      </c>
      <c r="AM266" t="n">
        <v>0</v>
      </c>
      <c r="AN266" t="n">
        <v>1</v>
      </c>
      <c r="AO266" t="n">
        <v>2</v>
      </c>
      <c r="AP266" t="n">
        <v>0</v>
      </c>
      <c r="AQ266" t="n">
        <v>0</v>
      </c>
      <c r="AR266" t="inlineStr">
        <is>
          <t>No</t>
        </is>
      </c>
      <c r="AS266" t="inlineStr">
        <is>
          <t>No</t>
        </is>
      </c>
      <c r="AU266">
        <f>HYPERLINK("https://creighton-primo.hosted.exlibrisgroup.com/primo-explore/search?tab=default_tab&amp;search_scope=EVERYTHING&amp;vid=01CRU&amp;lang=en_US&amp;offset=0&amp;query=any,contains,991000812099702656","Catalog Record")</f>
        <v/>
      </c>
      <c r="AV266">
        <f>HYPERLINK("http://www.worldcat.org/oclc/23077874","WorldCat Record")</f>
        <v/>
      </c>
      <c r="AW266" t="inlineStr">
        <is>
          <t>476128377:eng</t>
        </is>
      </c>
      <c r="AX266" t="inlineStr">
        <is>
          <t>23077874</t>
        </is>
      </c>
      <c r="AY266" t="inlineStr">
        <is>
          <t>991000812099702656</t>
        </is>
      </c>
      <c r="AZ266" t="inlineStr">
        <is>
          <t>991000812099702656</t>
        </is>
      </c>
      <c r="BA266" t="inlineStr">
        <is>
          <t>2261334960002656</t>
        </is>
      </c>
      <c r="BB266" t="inlineStr">
        <is>
          <t>BOOK</t>
        </is>
      </c>
      <c r="BE266" t="inlineStr">
        <is>
          <t>30001002085043</t>
        </is>
      </c>
      <c r="BF266" t="inlineStr">
        <is>
          <t>893637484</t>
        </is>
      </c>
    </row>
    <row r="267">
      <c r="A267" t="inlineStr">
        <is>
          <t>No</t>
        </is>
      </c>
      <c r="B267" t="inlineStr">
        <is>
          <t>CUHSL</t>
        </is>
      </c>
      <c r="C267" t="inlineStr">
        <is>
          <t>SHELVES</t>
        </is>
      </c>
      <c r="D267" t="inlineStr">
        <is>
          <t>W 21.5 P986a 1984</t>
        </is>
      </c>
      <c r="E267" t="inlineStr">
        <is>
          <t>0                      W  0021500P  986a        1984</t>
        </is>
      </c>
      <c r="F267" t="inlineStr">
        <is>
          <t>Health professional/patient interaction / Ruth Purtilo.</t>
        </is>
      </c>
      <c r="H267" t="inlineStr">
        <is>
          <t>No</t>
        </is>
      </c>
      <c r="I267" t="inlineStr">
        <is>
          <t>1</t>
        </is>
      </c>
      <c r="J267" t="inlineStr">
        <is>
          <t>No</t>
        </is>
      </c>
      <c r="K267" t="inlineStr">
        <is>
          <t>No</t>
        </is>
      </c>
      <c r="L267" t="inlineStr">
        <is>
          <t>0</t>
        </is>
      </c>
      <c r="M267" t="inlineStr">
        <is>
          <t>Purtilo, Ruth B.</t>
        </is>
      </c>
      <c r="N267" t="inlineStr">
        <is>
          <t>Philadelphia : Saunders, c1984.</t>
        </is>
      </c>
      <c r="O267" t="inlineStr">
        <is>
          <t>1984</t>
        </is>
      </c>
      <c r="P267" t="inlineStr">
        <is>
          <t>3rd ed.</t>
        </is>
      </c>
      <c r="Q267" t="inlineStr">
        <is>
          <t>eng</t>
        </is>
      </c>
      <c r="R267" t="inlineStr">
        <is>
          <t>pau</t>
        </is>
      </c>
      <c r="T267" t="inlineStr">
        <is>
          <t xml:space="preserve">W  </t>
        </is>
      </c>
      <c r="U267" t="n">
        <v>9</v>
      </c>
      <c r="V267" t="n">
        <v>9</v>
      </c>
      <c r="W267" t="inlineStr">
        <is>
          <t>2003-03-25</t>
        </is>
      </c>
      <c r="X267" t="inlineStr">
        <is>
          <t>2003-03-25</t>
        </is>
      </c>
      <c r="Y267" t="inlineStr">
        <is>
          <t>1987-10-01</t>
        </is>
      </c>
      <c r="Z267" t="inlineStr">
        <is>
          <t>1987-10-01</t>
        </is>
      </c>
      <c r="AA267" t="n">
        <v>267</v>
      </c>
      <c r="AB267" t="n">
        <v>218</v>
      </c>
      <c r="AC267" t="n">
        <v>342</v>
      </c>
      <c r="AD267" t="n">
        <v>4</v>
      </c>
      <c r="AE267" t="n">
        <v>5</v>
      </c>
      <c r="AF267" t="n">
        <v>6</v>
      </c>
      <c r="AG267" t="n">
        <v>11</v>
      </c>
      <c r="AH267" t="n">
        <v>2</v>
      </c>
      <c r="AI267" t="n">
        <v>4</v>
      </c>
      <c r="AJ267" t="n">
        <v>1</v>
      </c>
      <c r="AK267" t="n">
        <v>2</v>
      </c>
      <c r="AL267" t="n">
        <v>4</v>
      </c>
      <c r="AM267" t="n">
        <v>6</v>
      </c>
      <c r="AN267" t="n">
        <v>2</v>
      </c>
      <c r="AO267" t="n">
        <v>3</v>
      </c>
      <c r="AP267" t="n">
        <v>0</v>
      </c>
      <c r="AQ267" t="n">
        <v>0</v>
      </c>
      <c r="AR267" t="inlineStr">
        <is>
          <t>No</t>
        </is>
      </c>
      <c r="AS267" t="inlineStr">
        <is>
          <t>Yes</t>
        </is>
      </c>
      <c r="AT267">
        <f>HYPERLINK("http://catalog.hathitrust.org/Record/000120435","HathiTrust Record")</f>
        <v/>
      </c>
      <c r="AU267">
        <f>HYPERLINK("https://creighton-primo.hosted.exlibrisgroup.com/primo-explore/search?tab=default_tab&amp;search_scope=EVERYTHING&amp;vid=01CRU&amp;lang=en_US&amp;offset=0&amp;query=any,contains,991001178069702656","Catalog Record")</f>
        <v/>
      </c>
      <c r="AV267">
        <f>HYPERLINK("http://www.worldcat.org/oclc/10100733","WorldCat Record")</f>
        <v/>
      </c>
      <c r="AW267" t="inlineStr">
        <is>
          <t>3755521288:eng</t>
        </is>
      </c>
      <c r="AX267" t="inlineStr">
        <is>
          <t>10100733</t>
        </is>
      </c>
      <c r="AY267" t="inlineStr">
        <is>
          <t>991001178069702656</t>
        </is>
      </c>
      <c r="AZ267" t="inlineStr">
        <is>
          <t>991001178069702656</t>
        </is>
      </c>
      <c r="BA267" t="inlineStr">
        <is>
          <t>2256157090002656</t>
        </is>
      </c>
      <c r="BB267" t="inlineStr">
        <is>
          <t>BOOK</t>
        </is>
      </c>
      <c r="BD267" t="inlineStr">
        <is>
          <t>9780721611150</t>
        </is>
      </c>
      <c r="BE267" t="inlineStr">
        <is>
          <t>30001000308389</t>
        </is>
      </c>
      <c r="BF267" t="inlineStr">
        <is>
          <t>893284525</t>
        </is>
      </c>
    </row>
    <row r="268">
      <c r="A268" t="inlineStr">
        <is>
          <t>No</t>
        </is>
      </c>
      <c r="B268" t="inlineStr">
        <is>
          <t>CUHSL</t>
        </is>
      </c>
      <c r="C268" t="inlineStr">
        <is>
          <t>SHELVES</t>
        </is>
      </c>
      <c r="D268" t="inlineStr">
        <is>
          <t>W 21.5 P986a 1990</t>
        </is>
      </c>
      <c r="E268" t="inlineStr">
        <is>
          <t>0                      W  0021500P  986a        1990</t>
        </is>
      </c>
      <c r="F268" t="inlineStr">
        <is>
          <t>Health professional and patient interaction / Ruth Purtilo.</t>
        </is>
      </c>
      <c r="H268" t="inlineStr">
        <is>
          <t>No</t>
        </is>
      </c>
      <c r="I268" t="inlineStr">
        <is>
          <t>1</t>
        </is>
      </c>
      <c r="J268" t="inlineStr">
        <is>
          <t>No</t>
        </is>
      </c>
      <c r="K268" t="inlineStr">
        <is>
          <t>Yes</t>
        </is>
      </c>
      <c r="L268" t="inlineStr">
        <is>
          <t>0</t>
        </is>
      </c>
      <c r="M268" t="inlineStr">
        <is>
          <t>Purtilo, Ruth B.</t>
        </is>
      </c>
      <c r="N268" t="inlineStr">
        <is>
          <t>Philadelphia : Saunders, c1990.</t>
        </is>
      </c>
      <c r="O268" t="inlineStr">
        <is>
          <t>1990</t>
        </is>
      </c>
      <c r="P268" t="inlineStr">
        <is>
          <t>4th ed.</t>
        </is>
      </c>
      <c r="Q268" t="inlineStr">
        <is>
          <t>eng</t>
        </is>
      </c>
      <c r="R268" t="inlineStr">
        <is>
          <t>xxu</t>
        </is>
      </c>
      <c r="T268" t="inlineStr">
        <is>
          <t xml:space="preserve">W  </t>
        </is>
      </c>
      <c r="U268" t="n">
        <v>21</v>
      </c>
      <c r="V268" t="n">
        <v>21</v>
      </c>
      <c r="W268" t="inlineStr">
        <is>
          <t>2001-10-08</t>
        </is>
      </c>
      <c r="X268" t="inlineStr">
        <is>
          <t>2001-10-08</t>
        </is>
      </c>
      <c r="Y268" t="inlineStr">
        <is>
          <t>1991-09-26</t>
        </is>
      </c>
      <c r="Z268" t="inlineStr">
        <is>
          <t>1991-09-26</t>
        </is>
      </c>
      <c r="AA268" t="n">
        <v>415</v>
      </c>
      <c r="AB268" t="n">
        <v>341</v>
      </c>
      <c r="AC268" t="n">
        <v>1097</v>
      </c>
      <c r="AD268" t="n">
        <v>2</v>
      </c>
      <c r="AE268" t="n">
        <v>10</v>
      </c>
      <c r="AF268" t="n">
        <v>10</v>
      </c>
      <c r="AG268" t="n">
        <v>43</v>
      </c>
      <c r="AH268" t="n">
        <v>4</v>
      </c>
      <c r="AI268" t="n">
        <v>17</v>
      </c>
      <c r="AJ268" t="n">
        <v>2</v>
      </c>
      <c r="AK268" t="n">
        <v>8</v>
      </c>
      <c r="AL268" t="n">
        <v>9</v>
      </c>
      <c r="AM268" t="n">
        <v>17</v>
      </c>
      <c r="AN268" t="n">
        <v>0</v>
      </c>
      <c r="AO268" t="n">
        <v>7</v>
      </c>
      <c r="AP268" t="n">
        <v>0</v>
      </c>
      <c r="AQ268" t="n">
        <v>1</v>
      </c>
      <c r="AR268" t="inlineStr">
        <is>
          <t>No</t>
        </is>
      </c>
      <c r="AS268" t="inlineStr">
        <is>
          <t>Yes</t>
        </is>
      </c>
      <c r="AT268">
        <f>HYPERLINK("http://catalog.hathitrust.org/Record/002057513","HathiTrust Record")</f>
        <v/>
      </c>
      <c r="AU268">
        <f>HYPERLINK("https://creighton-primo.hosted.exlibrisgroup.com/primo-explore/search?tab=default_tab&amp;search_scope=EVERYTHING&amp;vid=01CRU&amp;lang=en_US&amp;offset=0&amp;query=any,contains,991001017719702656","Catalog Record")</f>
        <v/>
      </c>
      <c r="AV268">
        <f>HYPERLINK("http://www.worldcat.org/oclc/20932127","WorldCat Record")</f>
        <v/>
      </c>
      <c r="AW268" t="inlineStr">
        <is>
          <t>22535528:eng</t>
        </is>
      </c>
      <c r="AX268" t="inlineStr">
        <is>
          <t>20932127</t>
        </is>
      </c>
      <c r="AY268" t="inlineStr">
        <is>
          <t>991001017719702656</t>
        </is>
      </c>
      <c r="AZ268" t="inlineStr">
        <is>
          <t>991001017719702656</t>
        </is>
      </c>
      <c r="BA268" t="inlineStr">
        <is>
          <t>2266340190002656</t>
        </is>
      </c>
      <c r="BB268" t="inlineStr">
        <is>
          <t>BOOK</t>
        </is>
      </c>
      <c r="BD268" t="inlineStr">
        <is>
          <t>9780721673967</t>
        </is>
      </c>
      <c r="BE268" t="inlineStr">
        <is>
          <t>30001002240994</t>
        </is>
      </c>
      <c r="BF268" t="inlineStr">
        <is>
          <t>893637942</t>
        </is>
      </c>
    </row>
    <row r="269">
      <c r="A269" t="inlineStr">
        <is>
          <t>No</t>
        </is>
      </c>
      <c r="B269" t="inlineStr">
        <is>
          <t>CUHSL</t>
        </is>
      </c>
      <c r="C269" t="inlineStr">
        <is>
          <t>SHELVES</t>
        </is>
      </c>
      <c r="D269" t="inlineStr">
        <is>
          <t>W 21.5 P986a 1996</t>
        </is>
      </c>
      <c r="E269" t="inlineStr">
        <is>
          <t>0                      W  0021500P  986a        1996</t>
        </is>
      </c>
      <c r="F269" t="inlineStr">
        <is>
          <t>Health professional and patient interaction / Ruth Purtilo, Amy Haddad.</t>
        </is>
      </c>
      <c r="H269" t="inlineStr">
        <is>
          <t>No</t>
        </is>
      </c>
      <c r="I269" t="inlineStr">
        <is>
          <t>1</t>
        </is>
      </c>
      <c r="J269" t="inlineStr">
        <is>
          <t>No</t>
        </is>
      </c>
      <c r="K269" t="inlineStr">
        <is>
          <t>Yes</t>
        </is>
      </c>
      <c r="L269" t="inlineStr">
        <is>
          <t>0</t>
        </is>
      </c>
      <c r="M269" t="inlineStr">
        <is>
          <t>Purtilo, Ruth B.</t>
        </is>
      </c>
      <c r="N269" t="inlineStr">
        <is>
          <t>Philadelphia : Saunders, c1996.</t>
        </is>
      </c>
      <c r="O269" t="inlineStr">
        <is>
          <t>1996</t>
        </is>
      </c>
      <c r="P269" t="inlineStr">
        <is>
          <t>5th ed.</t>
        </is>
      </c>
      <c r="Q269" t="inlineStr">
        <is>
          <t>eng</t>
        </is>
      </c>
      <c r="R269" t="inlineStr">
        <is>
          <t>pau</t>
        </is>
      </c>
      <c r="T269" t="inlineStr">
        <is>
          <t xml:space="preserve">W  </t>
        </is>
      </c>
      <c r="U269" t="n">
        <v>25</v>
      </c>
      <c r="V269" t="n">
        <v>25</v>
      </c>
      <c r="W269" t="inlineStr">
        <is>
          <t>2005-11-18</t>
        </is>
      </c>
      <c r="X269" t="inlineStr">
        <is>
          <t>2005-11-18</t>
        </is>
      </c>
      <c r="Y269" t="inlineStr">
        <is>
          <t>1996-04-30</t>
        </is>
      </c>
      <c r="Z269" t="inlineStr">
        <is>
          <t>1996-04-30</t>
        </is>
      </c>
      <c r="AA269" t="n">
        <v>459</v>
      </c>
      <c r="AB269" t="n">
        <v>370</v>
      </c>
      <c r="AC269" t="n">
        <v>1097</v>
      </c>
      <c r="AD269" t="n">
        <v>2</v>
      </c>
      <c r="AE269" t="n">
        <v>10</v>
      </c>
      <c r="AF269" t="n">
        <v>11</v>
      </c>
      <c r="AG269" t="n">
        <v>43</v>
      </c>
      <c r="AH269" t="n">
        <v>6</v>
      </c>
      <c r="AI269" t="n">
        <v>17</v>
      </c>
      <c r="AJ269" t="n">
        <v>3</v>
      </c>
      <c r="AK269" t="n">
        <v>8</v>
      </c>
      <c r="AL269" t="n">
        <v>7</v>
      </c>
      <c r="AM269" t="n">
        <v>17</v>
      </c>
      <c r="AN269" t="n">
        <v>1</v>
      </c>
      <c r="AO269" t="n">
        <v>7</v>
      </c>
      <c r="AP269" t="n">
        <v>0</v>
      </c>
      <c r="AQ269" t="n">
        <v>1</v>
      </c>
      <c r="AR269" t="inlineStr">
        <is>
          <t>No</t>
        </is>
      </c>
      <c r="AS269" t="inlineStr">
        <is>
          <t>Yes</t>
        </is>
      </c>
      <c r="AT269">
        <f>HYPERLINK("http://catalog.hathitrust.org/Record/003048795","HathiTrust Record")</f>
        <v/>
      </c>
      <c r="AU269">
        <f>HYPERLINK("https://creighton-primo.hosted.exlibrisgroup.com/primo-explore/search?tab=default_tab&amp;search_scope=EVERYTHING&amp;vid=01CRU&amp;lang=en_US&amp;offset=0&amp;query=any,contains,991001506509702656","Catalog Record")</f>
        <v/>
      </c>
      <c r="AV269">
        <f>HYPERLINK("http://www.worldcat.org/oclc/32823846","WorldCat Record")</f>
        <v/>
      </c>
      <c r="AW269" t="inlineStr">
        <is>
          <t>22535528:eng</t>
        </is>
      </c>
      <c r="AX269" t="inlineStr">
        <is>
          <t>32823846</t>
        </is>
      </c>
      <c r="AY269" t="inlineStr">
        <is>
          <t>991001506509702656</t>
        </is>
      </c>
      <c r="AZ269" t="inlineStr">
        <is>
          <t>991001506509702656</t>
        </is>
      </c>
      <c r="BA269" t="inlineStr">
        <is>
          <t>2261974180002656</t>
        </is>
      </c>
      <c r="BB269" t="inlineStr">
        <is>
          <t>BOOK</t>
        </is>
      </c>
      <c r="BD269" t="inlineStr">
        <is>
          <t>9780721660486</t>
        </is>
      </c>
      <c r="BE269" t="inlineStr">
        <is>
          <t>30001003264621</t>
        </is>
      </c>
      <c r="BF269" t="inlineStr">
        <is>
          <t>893134653</t>
        </is>
      </c>
    </row>
    <row r="270">
      <c r="A270" t="inlineStr">
        <is>
          <t>No</t>
        </is>
      </c>
      <c r="B270" t="inlineStr">
        <is>
          <t>CUHSL</t>
        </is>
      </c>
      <c r="C270" t="inlineStr">
        <is>
          <t>SHELVES</t>
        </is>
      </c>
      <c r="D270" t="inlineStr">
        <is>
          <t>W21.5 P986a 2002</t>
        </is>
      </c>
      <c r="E270" t="inlineStr">
        <is>
          <t>0                      W  0021500P  986a        2002</t>
        </is>
      </c>
      <c r="F270" t="inlineStr">
        <is>
          <t>Health professional and patient interaction / Ruth Purtilo, Amy Haddad.</t>
        </is>
      </c>
      <c r="H270" t="inlineStr">
        <is>
          <t>No</t>
        </is>
      </c>
      <c r="I270" t="inlineStr">
        <is>
          <t>1</t>
        </is>
      </c>
      <c r="J270" t="inlineStr">
        <is>
          <t>No</t>
        </is>
      </c>
      <c r="K270" t="inlineStr">
        <is>
          <t>Yes</t>
        </is>
      </c>
      <c r="L270" t="inlineStr">
        <is>
          <t>0</t>
        </is>
      </c>
      <c r="M270" t="inlineStr">
        <is>
          <t>Purtilo, Ruth B.</t>
        </is>
      </c>
      <c r="N270" t="inlineStr">
        <is>
          <t>Philadelphia, Pa. : Saunders, c2002.</t>
        </is>
      </c>
      <c r="O270" t="inlineStr">
        <is>
          <t>2002</t>
        </is>
      </c>
      <c r="P270" t="inlineStr">
        <is>
          <t>6th ed.</t>
        </is>
      </c>
      <c r="Q270" t="inlineStr">
        <is>
          <t>eng</t>
        </is>
      </c>
      <c r="R270" t="inlineStr">
        <is>
          <t>pau</t>
        </is>
      </c>
      <c r="T270" t="inlineStr">
        <is>
          <t xml:space="preserve">W  </t>
        </is>
      </c>
      <c r="U270" t="n">
        <v>13</v>
      </c>
      <c r="V270" t="n">
        <v>13</v>
      </c>
      <c r="W270" t="inlineStr">
        <is>
          <t>2005-09-14</t>
        </is>
      </c>
      <c r="X270" t="inlineStr">
        <is>
          <t>2005-09-14</t>
        </is>
      </c>
      <c r="Y270" t="inlineStr">
        <is>
          <t>2002-04-16</t>
        </is>
      </c>
      <c r="Z270" t="inlineStr">
        <is>
          <t>2002-04-16</t>
        </is>
      </c>
      <c r="AA270" t="n">
        <v>481</v>
      </c>
      <c r="AB270" t="n">
        <v>390</v>
      </c>
      <c r="AC270" t="n">
        <v>1097</v>
      </c>
      <c r="AD270" t="n">
        <v>2</v>
      </c>
      <c r="AE270" t="n">
        <v>10</v>
      </c>
      <c r="AF270" t="n">
        <v>14</v>
      </c>
      <c r="AG270" t="n">
        <v>43</v>
      </c>
      <c r="AH270" t="n">
        <v>6</v>
      </c>
      <c r="AI270" t="n">
        <v>17</v>
      </c>
      <c r="AJ270" t="n">
        <v>2</v>
      </c>
      <c r="AK270" t="n">
        <v>8</v>
      </c>
      <c r="AL270" t="n">
        <v>6</v>
      </c>
      <c r="AM270" t="n">
        <v>17</v>
      </c>
      <c r="AN270" t="n">
        <v>1</v>
      </c>
      <c r="AO270" t="n">
        <v>7</v>
      </c>
      <c r="AP270" t="n">
        <v>0</v>
      </c>
      <c r="AQ270" t="n">
        <v>1</v>
      </c>
      <c r="AR270" t="inlineStr">
        <is>
          <t>No</t>
        </is>
      </c>
      <c r="AS270" t="inlineStr">
        <is>
          <t>Yes</t>
        </is>
      </c>
      <c r="AT270">
        <f>HYPERLINK("http://catalog.hathitrust.org/Record/004238232","HathiTrust Record")</f>
        <v/>
      </c>
      <c r="AU270">
        <f>HYPERLINK("https://creighton-primo.hosted.exlibrisgroup.com/primo-explore/search?tab=default_tab&amp;search_scope=EVERYTHING&amp;vid=01CRU&amp;lang=en_US&amp;offset=0&amp;query=any,contains,991000307779702656","Catalog Record")</f>
        <v/>
      </c>
      <c r="AV270">
        <f>HYPERLINK("http://www.worldcat.org/oclc/48494806","WorldCat Record")</f>
        <v/>
      </c>
      <c r="AW270" t="inlineStr">
        <is>
          <t>22535528:eng</t>
        </is>
      </c>
      <c r="AX270" t="inlineStr">
        <is>
          <t>48494806</t>
        </is>
      </c>
      <c r="AY270" t="inlineStr">
        <is>
          <t>991000307779702656</t>
        </is>
      </c>
      <c r="AZ270" t="inlineStr">
        <is>
          <t>991000307779702656</t>
        </is>
      </c>
      <c r="BA270" t="inlineStr">
        <is>
          <t>22101747540002656</t>
        </is>
      </c>
      <c r="BB270" t="inlineStr">
        <is>
          <t>BOOK</t>
        </is>
      </c>
      <c r="BD270" t="inlineStr">
        <is>
          <t>9780721692975</t>
        </is>
      </c>
      <c r="BE270" t="inlineStr">
        <is>
          <t>30001004237246</t>
        </is>
      </c>
      <c r="BF270" t="inlineStr">
        <is>
          <t>893737215</t>
        </is>
      </c>
    </row>
    <row r="271">
      <c r="A271" t="inlineStr">
        <is>
          <t>No</t>
        </is>
      </c>
      <c r="B271" t="inlineStr">
        <is>
          <t>CUHSL</t>
        </is>
      </c>
      <c r="C271" t="inlineStr">
        <is>
          <t>SHELVES</t>
        </is>
      </c>
      <c r="D271" t="inlineStr">
        <is>
          <t>W 21.5 S296p 1987</t>
        </is>
      </c>
      <c r="E271" t="inlineStr">
        <is>
          <t>0                      W  0021500S  296p        1987</t>
        </is>
      </c>
      <c r="F271" t="inlineStr">
        <is>
          <t>The physician assistant in a changing health care environment / Gretchen Engle Schafft, James F. Cawley.</t>
        </is>
      </c>
      <c r="H271" t="inlineStr">
        <is>
          <t>No</t>
        </is>
      </c>
      <c r="I271" t="inlineStr">
        <is>
          <t>1</t>
        </is>
      </c>
      <c r="J271" t="inlineStr">
        <is>
          <t>No</t>
        </is>
      </c>
      <c r="K271" t="inlineStr">
        <is>
          <t>No</t>
        </is>
      </c>
      <c r="L271" t="inlineStr">
        <is>
          <t>0</t>
        </is>
      </c>
      <c r="M271" t="inlineStr">
        <is>
          <t>Schafft, Gretchen Engle.</t>
        </is>
      </c>
      <c r="N271" t="inlineStr">
        <is>
          <t>Rockville, Md. : Aspen Publishers, c1987.</t>
        </is>
      </c>
      <c r="O271" t="inlineStr">
        <is>
          <t>1987</t>
        </is>
      </c>
      <c r="Q271" t="inlineStr">
        <is>
          <t>eng</t>
        </is>
      </c>
      <c r="R271" t="inlineStr">
        <is>
          <t>xxu</t>
        </is>
      </c>
      <c r="T271" t="inlineStr">
        <is>
          <t xml:space="preserve">W  </t>
        </is>
      </c>
      <c r="U271" t="n">
        <v>20</v>
      </c>
      <c r="V271" t="n">
        <v>20</v>
      </c>
      <c r="W271" t="inlineStr">
        <is>
          <t>1998-03-16</t>
        </is>
      </c>
      <c r="X271" t="inlineStr">
        <is>
          <t>1998-03-16</t>
        </is>
      </c>
      <c r="Y271" t="inlineStr">
        <is>
          <t>1988-05-07</t>
        </is>
      </c>
      <c r="Z271" t="inlineStr">
        <is>
          <t>1988-05-07</t>
        </is>
      </c>
      <c r="AA271" t="n">
        <v>146</v>
      </c>
      <c r="AB271" t="n">
        <v>137</v>
      </c>
      <c r="AC271" t="n">
        <v>137</v>
      </c>
      <c r="AD271" t="n">
        <v>2</v>
      </c>
      <c r="AE271" t="n">
        <v>2</v>
      </c>
      <c r="AF271" t="n">
        <v>9</v>
      </c>
      <c r="AG271" t="n">
        <v>9</v>
      </c>
      <c r="AH271" t="n">
        <v>2</v>
      </c>
      <c r="AI271" t="n">
        <v>2</v>
      </c>
      <c r="AJ271" t="n">
        <v>2</v>
      </c>
      <c r="AK271" t="n">
        <v>2</v>
      </c>
      <c r="AL271" t="n">
        <v>6</v>
      </c>
      <c r="AM271" t="n">
        <v>6</v>
      </c>
      <c r="AN271" t="n">
        <v>1</v>
      </c>
      <c r="AO271" t="n">
        <v>1</v>
      </c>
      <c r="AP271" t="n">
        <v>1</v>
      </c>
      <c r="AQ271" t="n">
        <v>1</v>
      </c>
      <c r="AR271" t="inlineStr">
        <is>
          <t>No</t>
        </is>
      </c>
      <c r="AS271" t="inlineStr">
        <is>
          <t>No</t>
        </is>
      </c>
      <c r="AU271">
        <f>HYPERLINK("https://creighton-primo.hosted.exlibrisgroup.com/primo-explore/search?tab=default_tab&amp;search_scope=EVERYTHING&amp;vid=01CRU&amp;lang=en_US&amp;offset=0&amp;query=any,contains,991001189029702656","Catalog Record")</f>
        <v/>
      </c>
      <c r="AV271">
        <f>HYPERLINK("http://www.worldcat.org/oclc/16354589","WorldCat Record")</f>
        <v/>
      </c>
      <c r="AW271" t="inlineStr">
        <is>
          <t>11914775:eng</t>
        </is>
      </c>
      <c r="AX271" t="inlineStr">
        <is>
          <t>16354589</t>
        </is>
      </c>
      <c r="AY271" t="inlineStr">
        <is>
          <t>991001189029702656</t>
        </is>
      </c>
      <c r="AZ271" t="inlineStr">
        <is>
          <t>991001189029702656</t>
        </is>
      </c>
      <c r="BA271" t="inlineStr">
        <is>
          <t>2263586150002656</t>
        </is>
      </c>
      <c r="BB271" t="inlineStr">
        <is>
          <t>BOOK</t>
        </is>
      </c>
      <c r="BD271" t="inlineStr">
        <is>
          <t>9780871898708</t>
        </is>
      </c>
      <c r="BE271" t="inlineStr">
        <is>
          <t>30001000978843</t>
        </is>
      </c>
      <c r="BF271" t="inlineStr">
        <is>
          <t>893161753</t>
        </is>
      </c>
    </row>
    <row r="272">
      <c r="A272" t="inlineStr">
        <is>
          <t>No</t>
        </is>
      </c>
      <c r="B272" t="inlineStr">
        <is>
          <t>CUHSL</t>
        </is>
      </c>
      <c r="C272" t="inlineStr">
        <is>
          <t>SHELVES</t>
        </is>
      </c>
      <c r="D272" t="inlineStr">
        <is>
          <t>W 21.5 S458c 1982</t>
        </is>
      </c>
      <c r="E272" t="inlineStr">
        <is>
          <t>0                      W  0021500S  458c        1982</t>
        </is>
      </c>
      <c r="F272" t="inlineStr">
        <is>
          <t>Careers in health services / Diane Seide.</t>
        </is>
      </c>
      <c r="H272" t="inlineStr">
        <is>
          <t>No</t>
        </is>
      </c>
      <c r="I272" t="inlineStr">
        <is>
          <t>1</t>
        </is>
      </c>
      <c r="J272" t="inlineStr">
        <is>
          <t>No</t>
        </is>
      </c>
      <c r="K272" t="inlineStr">
        <is>
          <t>No</t>
        </is>
      </c>
      <c r="L272" t="inlineStr">
        <is>
          <t>0</t>
        </is>
      </c>
      <c r="M272" t="inlineStr">
        <is>
          <t>Seide, Diane.</t>
        </is>
      </c>
      <c r="N272" t="inlineStr">
        <is>
          <t>New York : Lodestar Books, c1982.</t>
        </is>
      </c>
      <c r="O272" t="inlineStr">
        <is>
          <t>1982</t>
        </is>
      </c>
      <c r="P272" t="inlineStr">
        <is>
          <t>[Rev. and updated ed.].</t>
        </is>
      </c>
      <c r="Q272" t="inlineStr">
        <is>
          <t>eng</t>
        </is>
      </c>
      <c r="R272" t="inlineStr">
        <is>
          <t>nyu</t>
        </is>
      </c>
      <c r="T272" t="inlineStr">
        <is>
          <t xml:space="preserve">W  </t>
        </is>
      </c>
      <c r="U272" t="n">
        <v>13</v>
      </c>
      <c r="V272" t="n">
        <v>13</v>
      </c>
      <c r="W272" t="inlineStr">
        <is>
          <t>2007-02-25</t>
        </is>
      </c>
      <c r="X272" t="inlineStr">
        <is>
          <t>2007-02-25</t>
        </is>
      </c>
      <c r="Y272" t="inlineStr">
        <is>
          <t>1989-07-09</t>
        </is>
      </c>
      <c r="Z272" t="inlineStr">
        <is>
          <t>1989-07-09</t>
        </is>
      </c>
      <c r="AA272" t="n">
        <v>216</v>
      </c>
      <c r="AB272" t="n">
        <v>211</v>
      </c>
      <c r="AC272" t="n">
        <v>212</v>
      </c>
      <c r="AD272" t="n">
        <v>2</v>
      </c>
      <c r="AE272" t="n">
        <v>2</v>
      </c>
      <c r="AF272" t="n">
        <v>0</v>
      </c>
      <c r="AG272" t="n">
        <v>1</v>
      </c>
      <c r="AH272" t="n">
        <v>0</v>
      </c>
      <c r="AI272" t="n">
        <v>1</v>
      </c>
      <c r="AJ272" t="n">
        <v>0</v>
      </c>
      <c r="AK272" t="n">
        <v>0</v>
      </c>
      <c r="AL272" t="n">
        <v>0</v>
      </c>
      <c r="AM272" t="n">
        <v>1</v>
      </c>
      <c r="AN272" t="n">
        <v>0</v>
      </c>
      <c r="AO272" t="n">
        <v>0</v>
      </c>
      <c r="AP272" t="n">
        <v>0</v>
      </c>
      <c r="AQ272" t="n">
        <v>0</v>
      </c>
      <c r="AR272" t="inlineStr">
        <is>
          <t>No</t>
        </is>
      </c>
      <c r="AS272" t="inlineStr">
        <is>
          <t>No</t>
        </is>
      </c>
      <c r="AU272">
        <f>HYPERLINK("https://creighton-primo.hosted.exlibrisgroup.com/primo-explore/search?tab=default_tab&amp;search_scope=EVERYTHING&amp;vid=01CRU&amp;lang=en_US&amp;offset=0&amp;query=any,contains,991001177829702656","Catalog Record")</f>
        <v/>
      </c>
      <c r="AV272">
        <f>HYPERLINK("http://www.worldcat.org/oclc/8111080","WorldCat Record")</f>
        <v/>
      </c>
      <c r="AW272" t="inlineStr">
        <is>
          <t>10248701636:eng</t>
        </is>
      </c>
      <c r="AX272" t="inlineStr">
        <is>
          <t>8111080</t>
        </is>
      </c>
      <c r="AY272" t="inlineStr">
        <is>
          <t>991001177829702656</t>
        </is>
      </c>
      <c r="AZ272" t="inlineStr">
        <is>
          <t>991001177829702656</t>
        </is>
      </c>
      <c r="BA272" t="inlineStr">
        <is>
          <t>2255961450002656</t>
        </is>
      </c>
      <c r="BB272" t="inlineStr">
        <is>
          <t>BOOK</t>
        </is>
      </c>
      <c r="BD272" t="inlineStr">
        <is>
          <t>9780525667681</t>
        </is>
      </c>
      <c r="BE272" t="inlineStr">
        <is>
          <t>30001000308348</t>
        </is>
      </c>
      <c r="BF272" t="inlineStr">
        <is>
          <t>893821023</t>
        </is>
      </c>
    </row>
    <row r="273">
      <c r="A273" t="inlineStr">
        <is>
          <t>No</t>
        </is>
      </c>
      <c r="B273" t="inlineStr">
        <is>
          <t>CUHSL</t>
        </is>
      </c>
      <c r="C273" t="inlineStr">
        <is>
          <t>SHELVES</t>
        </is>
      </c>
      <c r="D273" t="inlineStr">
        <is>
          <t>W 21.5 V394c 1997</t>
        </is>
      </c>
      <c r="E273" t="inlineStr">
        <is>
          <t>0                      W  0021500V  394c        1997</t>
        </is>
      </c>
      <c r="F273" t="inlineStr">
        <is>
          <t>Case studies in allied health ethics / Robert M. Veatch, Harley E. Flack.</t>
        </is>
      </c>
      <c r="H273" t="inlineStr">
        <is>
          <t>No</t>
        </is>
      </c>
      <c r="I273" t="inlineStr">
        <is>
          <t>1</t>
        </is>
      </c>
      <c r="J273" t="inlineStr">
        <is>
          <t>No</t>
        </is>
      </c>
      <c r="K273" t="inlineStr">
        <is>
          <t>No</t>
        </is>
      </c>
      <c r="L273" t="inlineStr">
        <is>
          <t>0</t>
        </is>
      </c>
      <c r="M273" t="inlineStr">
        <is>
          <t>Veatch, Robert M.</t>
        </is>
      </c>
      <c r="N273" t="inlineStr">
        <is>
          <t>Upper Saddle River, NJ : Prentice Hall, c1997.</t>
        </is>
      </c>
      <c r="O273" t="inlineStr">
        <is>
          <t>1997</t>
        </is>
      </c>
      <c r="Q273" t="inlineStr">
        <is>
          <t>eng</t>
        </is>
      </c>
      <c r="R273" t="inlineStr">
        <is>
          <t>nju</t>
        </is>
      </c>
      <c r="T273" t="inlineStr">
        <is>
          <t xml:space="preserve">W  </t>
        </is>
      </c>
      <c r="U273" t="n">
        <v>27</v>
      </c>
      <c r="V273" t="n">
        <v>27</v>
      </c>
      <c r="W273" t="inlineStr">
        <is>
          <t>2006-11-26</t>
        </is>
      </c>
      <c r="X273" t="inlineStr">
        <is>
          <t>2006-11-26</t>
        </is>
      </c>
      <c r="Y273" t="inlineStr">
        <is>
          <t>1997-10-10</t>
        </is>
      </c>
      <c r="Z273" t="inlineStr">
        <is>
          <t>1997-10-10</t>
        </is>
      </c>
      <c r="AA273" t="n">
        <v>200</v>
      </c>
      <c r="AB273" t="n">
        <v>176</v>
      </c>
      <c r="AC273" t="n">
        <v>178</v>
      </c>
      <c r="AD273" t="n">
        <v>2</v>
      </c>
      <c r="AE273" t="n">
        <v>2</v>
      </c>
      <c r="AF273" t="n">
        <v>6</v>
      </c>
      <c r="AG273" t="n">
        <v>6</v>
      </c>
      <c r="AH273" t="n">
        <v>3</v>
      </c>
      <c r="AI273" t="n">
        <v>3</v>
      </c>
      <c r="AJ273" t="n">
        <v>0</v>
      </c>
      <c r="AK273" t="n">
        <v>0</v>
      </c>
      <c r="AL273" t="n">
        <v>4</v>
      </c>
      <c r="AM273" t="n">
        <v>4</v>
      </c>
      <c r="AN273" t="n">
        <v>1</v>
      </c>
      <c r="AO273" t="n">
        <v>1</v>
      </c>
      <c r="AP273" t="n">
        <v>0</v>
      </c>
      <c r="AQ273" t="n">
        <v>0</v>
      </c>
      <c r="AR273" t="inlineStr">
        <is>
          <t>No</t>
        </is>
      </c>
      <c r="AS273" t="inlineStr">
        <is>
          <t>Yes</t>
        </is>
      </c>
      <c r="AT273">
        <f>HYPERLINK("http://catalog.hathitrust.org/Record/003071546","HathiTrust Record")</f>
        <v/>
      </c>
      <c r="AU273">
        <f>HYPERLINK("https://creighton-primo.hosted.exlibrisgroup.com/primo-explore/search?tab=default_tab&amp;search_scope=EVERYTHING&amp;vid=01CRU&amp;lang=en_US&amp;offset=0&amp;query=any,contains,991001138629702656","Catalog Record")</f>
        <v/>
      </c>
      <c r="AV273">
        <f>HYPERLINK("http://www.worldcat.org/oclc/34114036","WorldCat Record")</f>
        <v/>
      </c>
      <c r="AW273" t="inlineStr">
        <is>
          <t>39017458:eng</t>
        </is>
      </c>
      <c r="AX273" t="inlineStr">
        <is>
          <t>34114036</t>
        </is>
      </c>
      <c r="AY273" t="inlineStr">
        <is>
          <t>991001138629702656</t>
        </is>
      </c>
      <c r="AZ273" t="inlineStr">
        <is>
          <t>991001138629702656</t>
        </is>
      </c>
      <c r="BA273" t="inlineStr">
        <is>
          <t>2272773000002656</t>
        </is>
      </c>
      <c r="BB273" t="inlineStr">
        <is>
          <t>BOOK</t>
        </is>
      </c>
      <c r="BD273" t="inlineStr">
        <is>
          <t>9780835949958</t>
        </is>
      </c>
      <c r="BE273" t="inlineStr">
        <is>
          <t>30001003628262</t>
        </is>
      </c>
      <c r="BF273" t="inlineStr">
        <is>
          <t>893541048</t>
        </is>
      </c>
    </row>
    <row r="274">
      <c r="A274" t="inlineStr">
        <is>
          <t>No</t>
        </is>
      </c>
      <c r="B274" t="inlineStr">
        <is>
          <t>CUHSL</t>
        </is>
      </c>
      <c r="C274" t="inlineStr">
        <is>
          <t>SHELVES</t>
        </is>
      </c>
      <c r="D274" t="inlineStr">
        <is>
          <t>W 22 AA1 C762 1992-93</t>
        </is>
      </c>
      <c r="E274" t="inlineStr">
        <is>
          <t>0                      W  0022000AA 1                  C  762         1992                  -93</t>
        </is>
      </c>
      <c r="F274" t="inlineStr">
        <is>
          <t>Continuing medical education directory, 1992-1993 / American Medical Association.</t>
        </is>
      </c>
      <c r="H274" t="inlineStr">
        <is>
          <t>No</t>
        </is>
      </c>
      <c r="I274" t="inlineStr">
        <is>
          <t>1</t>
        </is>
      </c>
      <c r="J274" t="inlineStr">
        <is>
          <t>No</t>
        </is>
      </c>
      <c r="K274" t="inlineStr">
        <is>
          <t>No</t>
        </is>
      </c>
      <c r="L274" t="inlineStr">
        <is>
          <t>0</t>
        </is>
      </c>
      <c r="N274" t="inlineStr">
        <is>
          <t>Chicago : American Medical Association, c1992.</t>
        </is>
      </c>
      <c r="O274" t="inlineStr">
        <is>
          <t>1992</t>
        </is>
      </c>
      <c r="P274" t="inlineStr">
        <is>
          <t>1st ed.</t>
        </is>
      </c>
      <c r="Q274" t="inlineStr">
        <is>
          <t>eng</t>
        </is>
      </c>
      <c r="R274" t="inlineStr">
        <is>
          <t>ilu</t>
        </is>
      </c>
      <c r="T274" t="inlineStr">
        <is>
          <t xml:space="preserve">W  </t>
        </is>
      </c>
      <c r="U274" t="n">
        <v>5</v>
      </c>
      <c r="V274" t="n">
        <v>5</v>
      </c>
      <c r="W274" t="inlineStr">
        <is>
          <t>1992-10-07</t>
        </is>
      </c>
      <c r="X274" t="inlineStr">
        <is>
          <t>1992-10-07</t>
        </is>
      </c>
      <c r="Y274" t="inlineStr">
        <is>
          <t>1992-09-30</t>
        </is>
      </c>
      <c r="Z274" t="inlineStr">
        <is>
          <t>1992-09-30</t>
        </is>
      </c>
      <c r="AA274" t="n">
        <v>26</v>
      </c>
      <c r="AB274" t="n">
        <v>26</v>
      </c>
      <c r="AC274" t="n">
        <v>26</v>
      </c>
      <c r="AD274" t="n">
        <v>1</v>
      </c>
      <c r="AE274" t="n">
        <v>1</v>
      </c>
      <c r="AF274" t="n">
        <v>0</v>
      </c>
      <c r="AG274" t="n">
        <v>0</v>
      </c>
      <c r="AH274" t="n">
        <v>0</v>
      </c>
      <c r="AI274" t="n">
        <v>0</v>
      </c>
      <c r="AJ274" t="n">
        <v>0</v>
      </c>
      <c r="AK274" t="n">
        <v>0</v>
      </c>
      <c r="AL274" t="n">
        <v>0</v>
      </c>
      <c r="AM274" t="n">
        <v>0</v>
      </c>
      <c r="AN274" t="n">
        <v>0</v>
      </c>
      <c r="AO274" t="n">
        <v>0</v>
      </c>
      <c r="AP274" t="n">
        <v>0</v>
      </c>
      <c r="AQ274" t="n">
        <v>0</v>
      </c>
      <c r="AR274" t="inlineStr">
        <is>
          <t>No</t>
        </is>
      </c>
      <c r="AS274" t="inlineStr">
        <is>
          <t>No</t>
        </is>
      </c>
      <c r="AU274">
        <f>HYPERLINK("https://creighton-primo.hosted.exlibrisgroup.com/primo-explore/search?tab=default_tab&amp;search_scope=EVERYTHING&amp;vid=01CRU&amp;lang=en_US&amp;offset=0&amp;query=any,contains,991001306469702656","Catalog Record")</f>
        <v/>
      </c>
      <c r="AV274">
        <f>HYPERLINK("http://www.worldcat.org/oclc/26706956","WorldCat Record")</f>
        <v/>
      </c>
      <c r="AW274" t="inlineStr">
        <is>
          <t>29235540:eng</t>
        </is>
      </c>
      <c r="AX274" t="inlineStr">
        <is>
          <t>26706956</t>
        </is>
      </c>
      <c r="AY274" t="inlineStr">
        <is>
          <t>991001306469702656</t>
        </is>
      </c>
      <c r="AZ274" t="inlineStr">
        <is>
          <t>991001306469702656</t>
        </is>
      </c>
      <c r="BA274" t="inlineStr">
        <is>
          <t>2268306620002656</t>
        </is>
      </c>
      <c r="BB274" t="inlineStr">
        <is>
          <t>BOOK</t>
        </is>
      </c>
      <c r="BD274" t="inlineStr">
        <is>
          <t>9780899705057</t>
        </is>
      </c>
      <c r="BE274" t="inlineStr">
        <is>
          <t>30001002413948</t>
        </is>
      </c>
      <c r="BF274" t="inlineStr">
        <is>
          <t>893740982</t>
        </is>
      </c>
    </row>
    <row r="275">
      <c r="A275" t="inlineStr">
        <is>
          <t>No</t>
        </is>
      </c>
      <c r="B275" t="inlineStr">
        <is>
          <t>CUHSL</t>
        </is>
      </c>
      <c r="C275" t="inlineStr">
        <is>
          <t>SHELVES</t>
        </is>
      </c>
      <c r="D275" t="inlineStr">
        <is>
          <t>W 22 AA1 D5986 1994</t>
        </is>
      </c>
      <c r="E275" t="inlineStr">
        <is>
          <t>0                      W  0022000AA 1                  D  5986        1994</t>
        </is>
      </c>
      <c r="F275" t="inlineStr">
        <is>
          <t>Directory of biomedical and health care grants, 1994.</t>
        </is>
      </c>
      <c r="H275" t="inlineStr">
        <is>
          <t>No</t>
        </is>
      </c>
      <c r="I275" t="inlineStr">
        <is>
          <t>1</t>
        </is>
      </c>
      <c r="J275" t="inlineStr">
        <is>
          <t>No</t>
        </is>
      </c>
      <c r="K275" t="inlineStr">
        <is>
          <t>No</t>
        </is>
      </c>
      <c r="L275" t="inlineStr">
        <is>
          <t>0</t>
        </is>
      </c>
      <c r="N275" t="inlineStr">
        <is>
          <t>Phoenix, Ariz. : Oryx Press, c1993.</t>
        </is>
      </c>
      <c r="O275" t="inlineStr">
        <is>
          <t>1993</t>
        </is>
      </c>
      <c r="P275" t="inlineStr">
        <is>
          <t>8th ed.</t>
        </is>
      </c>
      <c r="Q275" t="inlineStr">
        <is>
          <t>eng</t>
        </is>
      </c>
      <c r="R275" t="inlineStr">
        <is>
          <t>azu</t>
        </is>
      </c>
      <c r="T275" t="inlineStr">
        <is>
          <t xml:space="preserve">W  </t>
        </is>
      </c>
      <c r="U275" t="n">
        <v>6</v>
      </c>
      <c r="V275" t="n">
        <v>6</v>
      </c>
      <c r="W275" t="inlineStr">
        <is>
          <t>1993-10-14</t>
        </is>
      </c>
      <c r="X275" t="inlineStr">
        <is>
          <t>1993-10-14</t>
        </is>
      </c>
      <c r="Y275" t="inlineStr">
        <is>
          <t>1993-10-07</t>
        </is>
      </c>
      <c r="Z275" t="inlineStr">
        <is>
          <t>1993-10-07</t>
        </is>
      </c>
      <c r="AA275" t="n">
        <v>9</v>
      </c>
      <c r="AB275" t="n">
        <v>8</v>
      </c>
      <c r="AC275" t="n">
        <v>8</v>
      </c>
      <c r="AD275" t="n">
        <v>1</v>
      </c>
      <c r="AE275" t="n">
        <v>1</v>
      </c>
      <c r="AF275" t="n">
        <v>0</v>
      </c>
      <c r="AG275" t="n">
        <v>0</v>
      </c>
      <c r="AH275" t="n">
        <v>0</v>
      </c>
      <c r="AI275" t="n">
        <v>0</v>
      </c>
      <c r="AJ275" t="n">
        <v>0</v>
      </c>
      <c r="AK275" t="n">
        <v>0</v>
      </c>
      <c r="AL275" t="n">
        <v>0</v>
      </c>
      <c r="AM275" t="n">
        <v>0</v>
      </c>
      <c r="AN275" t="n">
        <v>0</v>
      </c>
      <c r="AO275" t="n">
        <v>0</v>
      </c>
      <c r="AP275" t="n">
        <v>0</v>
      </c>
      <c r="AQ275" t="n">
        <v>0</v>
      </c>
      <c r="AR275" t="inlineStr">
        <is>
          <t>No</t>
        </is>
      </c>
      <c r="AS275" t="inlineStr">
        <is>
          <t>No</t>
        </is>
      </c>
      <c r="AU275">
        <f>HYPERLINK("https://creighton-primo.hosted.exlibrisgroup.com/primo-explore/search?tab=default_tab&amp;search_scope=EVERYTHING&amp;vid=01CRU&amp;lang=en_US&amp;offset=0&amp;query=any,contains,991001486739702656","Catalog Record")</f>
        <v/>
      </c>
      <c r="AV275">
        <f>HYPERLINK("http://www.worldcat.org/oclc/29177943","WorldCat Record")</f>
        <v/>
      </c>
      <c r="AW275" t="inlineStr">
        <is>
          <t>2884118:eng</t>
        </is>
      </c>
      <c r="AX275" t="inlineStr">
        <is>
          <t>29177943</t>
        </is>
      </c>
      <c r="AY275" t="inlineStr">
        <is>
          <t>991001486739702656</t>
        </is>
      </c>
      <c r="AZ275" t="inlineStr">
        <is>
          <t>991001486739702656</t>
        </is>
      </c>
      <c r="BA275" t="inlineStr">
        <is>
          <t>2265284890002656</t>
        </is>
      </c>
      <c r="BB275" t="inlineStr">
        <is>
          <t>BOOK</t>
        </is>
      </c>
      <c r="BD275" t="inlineStr">
        <is>
          <t>9780897747684</t>
        </is>
      </c>
      <c r="BE275" t="inlineStr">
        <is>
          <t>30001002579326</t>
        </is>
      </c>
      <c r="BF275" t="inlineStr">
        <is>
          <t>893268556</t>
        </is>
      </c>
    </row>
    <row r="276">
      <c r="A276" t="inlineStr">
        <is>
          <t>No</t>
        </is>
      </c>
      <c r="B276" t="inlineStr">
        <is>
          <t>CUHSL</t>
        </is>
      </c>
      <c r="C276" t="inlineStr">
        <is>
          <t>SHELVES</t>
        </is>
      </c>
      <c r="D276" t="inlineStr">
        <is>
          <t>W 22 AA1 E56 1990</t>
        </is>
      </c>
      <c r="E276" t="inlineStr">
        <is>
          <t>0                      W  0022000AA 1                  E  56          1990</t>
        </is>
      </c>
      <c r="F276" t="inlineStr">
        <is>
          <t>Encyclopedia of medical organizations and agencies : a subject guide to more than 11,250 associations, foundations, federal and state government agencies, research centers, and medical and allied health schools / Karen Backus, editor.</t>
        </is>
      </c>
      <c r="H276" t="inlineStr">
        <is>
          <t>No</t>
        </is>
      </c>
      <c r="I276" t="inlineStr">
        <is>
          <t>1</t>
        </is>
      </c>
      <c r="J276" t="inlineStr">
        <is>
          <t>No</t>
        </is>
      </c>
      <c r="K276" t="inlineStr">
        <is>
          <t>No</t>
        </is>
      </c>
      <c r="L276" t="inlineStr">
        <is>
          <t>0</t>
        </is>
      </c>
      <c r="N276" t="inlineStr">
        <is>
          <t>Detroit, Mich. : Gale Research Co., c1990.</t>
        </is>
      </c>
      <c r="O276" t="inlineStr">
        <is>
          <t>1990</t>
        </is>
      </c>
      <c r="P276" t="inlineStr">
        <is>
          <t>3rd ed.</t>
        </is>
      </c>
      <c r="Q276" t="inlineStr">
        <is>
          <t>eng</t>
        </is>
      </c>
      <c r="R276" t="inlineStr">
        <is>
          <t>xxu</t>
        </is>
      </c>
      <c r="T276" t="inlineStr">
        <is>
          <t xml:space="preserve">W  </t>
        </is>
      </c>
      <c r="U276" t="n">
        <v>3</v>
      </c>
      <c r="V276" t="n">
        <v>3</v>
      </c>
      <c r="W276" t="inlineStr">
        <is>
          <t>2000-03-02</t>
        </is>
      </c>
      <c r="X276" t="inlineStr">
        <is>
          <t>2000-03-02</t>
        </is>
      </c>
      <c r="Y276" t="inlineStr">
        <is>
          <t>1990-09-17</t>
        </is>
      </c>
      <c r="Z276" t="inlineStr">
        <is>
          <t>1990-09-17</t>
        </is>
      </c>
      <c r="AA276" t="n">
        <v>39</v>
      </c>
      <c r="AB276" t="n">
        <v>26</v>
      </c>
      <c r="AC276" t="n">
        <v>27</v>
      </c>
      <c r="AD276" t="n">
        <v>1</v>
      </c>
      <c r="AE276" t="n">
        <v>1</v>
      </c>
      <c r="AF276" t="n">
        <v>1</v>
      </c>
      <c r="AG276" t="n">
        <v>1</v>
      </c>
      <c r="AH276" t="n">
        <v>0</v>
      </c>
      <c r="AI276" t="n">
        <v>0</v>
      </c>
      <c r="AJ276" t="n">
        <v>0</v>
      </c>
      <c r="AK276" t="n">
        <v>0</v>
      </c>
      <c r="AL276" t="n">
        <v>1</v>
      </c>
      <c r="AM276" t="n">
        <v>1</v>
      </c>
      <c r="AN276" t="n">
        <v>0</v>
      </c>
      <c r="AO276" t="n">
        <v>0</v>
      </c>
      <c r="AP276" t="n">
        <v>0</v>
      </c>
      <c r="AQ276" t="n">
        <v>0</v>
      </c>
      <c r="AR276" t="inlineStr">
        <is>
          <t>No</t>
        </is>
      </c>
      <c r="AS276" t="inlineStr">
        <is>
          <t>No</t>
        </is>
      </c>
      <c r="AU276">
        <f>HYPERLINK("https://creighton-primo.hosted.exlibrisgroup.com/primo-explore/search?tab=default_tab&amp;search_scope=EVERYTHING&amp;vid=01CRU&amp;lang=en_US&amp;offset=0&amp;query=any,contains,991001454769702656","Catalog Record")</f>
        <v/>
      </c>
      <c r="AV276">
        <f>HYPERLINK("http://www.worldcat.org/oclc/20785431","WorldCat Record")</f>
        <v/>
      </c>
      <c r="AW276" t="inlineStr">
        <is>
          <t>375106099:eng</t>
        </is>
      </c>
      <c r="AX276" t="inlineStr">
        <is>
          <t>20785431</t>
        </is>
      </c>
      <c r="AY276" t="inlineStr">
        <is>
          <t>991001454769702656</t>
        </is>
      </c>
      <c r="AZ276" t="inlineStr">
        <is>
          <t>991001454769702656</t>
        </is>
      </c>
      <c r="BA276" t="inlineStr">
        <is>
          <t>2260438850002656</t>
        </is>
      </c>
      <c r="BB276" t="inlineStr">
        <is>
          <t>BOOK</t>
        </is>
      </c>
      <c r="BE276" t="inlineStr">
        <is>
          <t>30001001884651</t>
        </is>
      </c>
      <c r="BF276" t="inlineStr">
        <is>
          <t>893541425</t>
        </is>
      </c>
    </row>
    <row r="277">
      <c r="A277" t="inlineStr">
        <is>
          <t>No</t>
        </is>
      </c>
      <c r="B277" t="inlineStr">
        <is>
          <t>CUHSL</t>
        </is>
      </c>
      <c r="C277" t="inlineStr">
        <is>
          <t>SHELVES</t>
        </is>
      </c>
      <c r="D277" t="inlineStr">
        <is>
          <t>W 22 AA1 N112b 1992</t>
        </is>
      </c>
      <c r="E277" t="inlineStr">
        <is>
          <t>0                      W  0022000AA 1                  N  112b        1992</t>
        </is>
      </c>
      <c r="F277" t="inlineStr">
        <is>
          <t>The best doctors in America / Steven Naifeh and Gregory White Smith ; Lucienne Potterfield Stec, senior editor.</t>
        </is>
      </c>
      <c r="H277" t="inlineStr">
        <is>
          <t>No</t>
        </is>
      </c>
      <c r="I277" t="inlineStr">
        <is>
          <t>1</t>
        </is>
      </c>
      <c r="J277" t="inlineStr">
        <is>
          <t>No</t>
        </is>
      </c>
      <c r="K277" t="inlineStr">
        <is>
          <t>No</t>
        </is>
      </c>
      <c r="L277" t="inlineStr">
        <is>
          <t>0</t>
        </is>
      </c>
      <c r="M277" t="inlineStr">
        <is>
          <t>Naifeh, Steven, 1952-</t>
        </is>
      </c>
      <c r="N277" t="inlineStr">
        <is>
          <t>Aiken, S.C. : Woodward/White, c1992.</t>
        </is>
      </c>
      <c r="O277" t="inlineStr">
        <is>
          <t>1992</t>
        </is>
      </c>
      <c r="Q277" t="inlineStr">
        <is>
          <t>eng</t>
        </is>
      </c>
      <c r="R277" t="inlineStr">
        <is>
          <t>scu</t>
        </is>
      </c>
      <c r="T277" t="inlineStr">
        <is>
          <t xml:space="preserve">W  </t>
        </is>
      </c>
      <c r="U277" t="n">
        <v>12</v>
      </c>
      <c r="V277" t="n">
        <v>12</v>
      </c>
      <c r="W277" t="inlineStr">
        <is>
          <t>1996-09-09</t>
        </is>
      </c>
      <c r="X277" t="inlineStr">
        <is>
          <t>1996-09-09</t>
        </is>
      </c>
      <c r="Y277" t="inlineStr">
        <is>
          <t>1992-08-20</t>
        </is>
      </c>
      <c r="Z277" t="inlineStr">
        <is>
          <t>1992-08-20</t>
        </is>
      </c>
      <c r="AA277" t="n">
        <v>125</v>
      </c>
      <c r="AB277" t="n">
        <v>120</v>
      </c>
      <c r="AC277" t="n">
        <v>137</v>
      </c>
      <c r="AD277" t="n">
        <v>2</v>
      </c>
      <c r="AE277" t="n">
        <v>3</v>
      </c>
      <c r="AF277" t="n">
        <v>2</v>
      </c>
      <c r="AG277" t="n">
        <v>2</v>
      </c>
      <c r="AH277" t="n">
        <v>1</v>
      </c>
      <c r="AI277" t="n">
        <v>1</v>
      </c>
      <c r="AJ277" t="n">
        <v>0</v>
      </c>
      <c r="AK277" t="n">
        <v>0</v>
      </c>
      <c r="AL277" t="n">
        <v>2</v>
      </c>
      <c r="AM277" t="n">
        <v>2</v>
      </c>
      <c r="AN277" t="n">
        <v>0</v>
      </c>
      <c r="AO277" t="n">
        <v>0</v>
      </c>
      <c r="AP277" t="n">
        <v>0</v>
      </c>
      <c r="AQ277" t="n">
        <v>0</v>
      </c>
      <c r="AR277" t="inlineStr">
        <is>
          <t>No</t>
        </is>
      </c>
      <c r="AS277" t="inlineStr">
        <is>
          <t>No</t>
        </is>
      </c>
      <c r="AU277">
        <f>HYPERLINK("https://creighton-primo.hosted.exlibrisgroup.com/primo-explore/search?tab=default_tab&amp;search_scope=EVERYTHING&amp;vid=01CRU&amp;lang=en_US&amp;offset=0&amp;query=any,contains,991001340289702656","Catalog Record")</f>
        <v/>
      </c>
      <c r="AV277">
        <f>HYPERLINK("http://www.worldcat.org/oclc/25245675","WorldCat Record")</f>
        <v/>
      </c>
      <c r="AW277" t="inlineStr">
        <is>
          <t>28395414:eng</t>
        </is>
      </c>
      <c r="AX277" t="inlineStr">
        <is>
          <t>25245675</t>
        </is>
      </c>
      <c r="AY277" t="inlineStr">
        <is>
          <t>991001340289702656</t>
        </is>
      </c>
      <c r="AZ277" t="inlineStr">
        <is>
          <t>991001340289702656</t>
        </is>
      </c>
      <c r="BA277" t="inlineStr">
        <is>
          <t>2259125260002656</t>
        </is>
      </c>
      <c r="BB277" t="inlineStr">
        <is>
          <t>BOOK</t>
        </is>
      </c>
      <c r="BD277" t="inlineStr">
        <is>
          <t>9780913391051</t>
        </is>
      </c>
      <c r="BE277" t="inlineStr">
        <is>
          <t>30001002455378</t>
        </is>
      </c>
      <c r="BF277" t="inlineStr">
        <is>
          <t>893643504</t>
        </is>
      </c>
    </row>
    <row r="278">
      <c r="A278" t="inlineStr">
        <is>
          <t>No</t>
        </is>
      </c>
      <c r="B278" t="inlineStr">
        <is>
          <t>CUHSL</t>
        </is>
      </c>
      <c r="C278" t="inlineStr">
        <is>
          <t>SHELVES</t>
        </is>
      </c>
      <c r="D278" t="inlineStr">
        <is>
          <t>W 22 AA1 S592q 1990</t>
        </is>
      </c>
      <c r="E278" t="inlineStr">
        <is>
          <t>0                      W  0022000AA 1                  S  592q        1990</t>
        </is>
      </c>
      <c r="F278" t="inlineStr">
        <is>
          <t>6892 questionable doctors disciplined by states or the federal government / Nicole Simmons, Phyllis McCarthy, Sidney Wolfe.</t>
        </is>
      </c>
      <c r="H278" t="inlineStr">
        <is>
          <t>No</t>
        </is>
      </c>
      <c r="I278" t="inlineStr">
        <is>
          <t>1</t>
        </is>
      </c>
      <c r="J278" t="inlineStr">
        <is>
          <t>No</t>
        </is>
      </c>
      <c r="K278" t="inlineStr">
        <is>
          <t>No</t>
        </is>
      </c>
      <c r="L278" t="inlineStr">
        <is>
          <t>0</t>
        </is>
      </c>
      <c r="M278" t="inlineStr">
        <is>
          <t>Simmons, Nicole.</t>
        </is>
      </c>
      <c r="N278" t="inlineStr">
        <is>
          <t>Washington, D.C. : Public Citizen's Health Research Group, c1990.</t>
        </is>
      </c>
      <c r="O278" t="inlineStr">
        <is>
          <t>1990</t>
        </is>
      </c>
      <c r="Q278" t="inlineStr">
        <is>
          <t>eng</t>
        </is>
      </c>
      <c r="R278" t="inlineStr">
        <is>
          <t>dcu</t>
        </is>
      </c>
      <c r="S278" t="inlineStr">
        <is>
          <t>Public Citizen Health Research Group report</t>
        </is>
      </c>
      <c r="T278" t="inlineStr">
        <is>
          <t xml:space="preserve">W  </t>
        </is>
      </c>
      <c r="U278" t="n">
        <v>13</v>
      </c>
      <c r="V278" t="n">
        <v>13</v>
      </c>
      <c r="W278" t="inlineStr">
        <is>
          <t>1992-10-28</t>
        </is>
      </c>
      <c r="X278" t="inlineStr">
        <is>
          <t>1992-10-28</t>
        </is>
      </c>
      <c r="Y278" t="inlineStr">
        <is>
          <t>1991-01-09</t>
        </is>
      </c>
      <c r="Z278" t="inlineStr">
        <is>
          <t>1991-01-09</t>
        </is>
      </c>
      <c r="AA278" t="n">
        <v>57</v>
      </c>
      <c r="AB278" t="n">
        <v>57</v>
      </c>
      <c r="AC278" t="n">
        <v>57</v>
      </c>
      <c r="AD278" t="n">
        <v>1</v>
      </c>
      <c r="AE278" t="n">
        <v>1</v>
      </c>
      <c r="AF278" t="n">
        <v>2</v>
      </c>
      <c r="AG278" t="n">
        <v>2</v>
      </c>
      <c r="AH278" t="n">
        <v>0</v>
      </c>
      <c r="AI278" t="n">
        <v>0</v>
      </c>
      <c r="AJ278" t="n">
        <v>0</v>
      </c>
      <c r="AK278" t="n">
        <v>0</v>
      </c>
      <c r="AL278" t="n">
        <v>0</v>
      </c>
      <c r="AM278" t="n">
        <v>0</v>
      </c>
      <c r="AN278" t="n">
        <v>0</v>
      </c>
      <c r="AO278" t="n">
        <v>0</v>
      </c>
      <c r="AP278" t="n">
        <v>2</v>
      </c>
      <c r="AQ278" t="n">
        <v>2</v>
      </c>
      <c r="AR278" t="inlineStr">
        <is>
          <t>No</t>
        </is>
      </c>
      <c r="AS278" t="inlineStr">
        <is>
          <t>No</t>
        </is>
      </c>
      <c r="AU278">
        <f>HYPERLINK("https://creighton-primo.hosted.exlibrisgroup.com/primo-explore/search?tab=default_tab&amp;search_scope=EVERYTHING&amp;vid=01CRU&amp;lang=en_US&amp;offset=0&amp;query=any,contains,991000828829702656","Catalog Record")</f>
        <v/>
      </c>
      <c r="AV278">
        <f>HYPERLINK("http://www.worldcat.org/oclc/22200737","WorldCat Record")</f>
        <v/>
      </c>
      <c r="AW278" t="inlineStr">
        <is>
          <t>5609928004:eng</t>
        </is>
      </c>
      <c r="AX278" t="inlineStr">
        <is>
          <t>22200737</t>
        </is>
      </c>
      <c r="AY278" t="inlineStr">
        <is>
          <t>991000828829702656</t>
        </is>
      </c>
      <c r="AZ278" t="inlineStr">
        <is>
          <t>991000828829702656</t>
        </is>
      </c>
      <c r="BA278" t="inlineStr">
        <is>
          <t>22101747500002656</t>
        </is>
      </c>
      <c r="BB278" t="inlineStr">
        <is>
          <t>BOOK</t>
        </is>
      </c>
      <c r="BE278" t="inlineStr">
        <is>
          <t>30001002091827</t>
        </is>
      </c>
      <c r="BF278" t="inlineStr">
        <is>
          <t>893357727</t>
        </is>
      </c>
    </row>
    <row r="279">
      <c r="A279" t="inlineStr">
        <is>
          <t>No</t>
        </is>
      </c>
      <c r="B279" t="inlineStr">
        <is>
          <t>CUHSL</t>
        </is>
      </c>
      <c r="C279" t="inlineStr">
        <is>
          <t>SHELVES</t>
        </is>
      </c>
      <c r="D279" t="inlineStr">
        <is>
          <t>W 22.5 N495c 1990</t>
        </is>
      </c>
      <c r="E279" t="inlineStr">
        <is>
          <t>0                      W  0022500N  495c        1990</t>
        </is>
      </c>
      <c r="F279" t="inlineStr">
        <is>
          <t>Canadian health care : the implications of public health insurance / Edward Neuschler.</t>
        </is>
      </c>
      <c r="H279" t="inlineStr">
        <is>
          <t>No</t>
        </is>
      </c>
      <c r="I279" t="inlineStr">
        <is>
          <t>1</t>
        </is>
      </c>
      <c r="J279" t="inlineStr">
        <is>
          <t>No</t>
        </is>
      </c>
      <c r="K279" t="inlineStr">
        <is>
          <t>No</t>
        </is>
      </c>
      <c r="L279" t="inlineStr">
        <is>
          <t>0</t>
        </is>
      </c>
      <c r="M279" t="inlineStr">
        <is>
          <t>Neuschler, Edward.</t>
        </is>
      </c>
      <c r="N279" t="inlineStr">
        <is>
          <t>Washington, D.C. : Health Insurance Association of America, 1990.</t>
        </is>
      </c>
      <c r="O279" t="inlineStr">
        <is>
          <t>1990</t>
        </is>
      </c>
      <c r="Q279" t="inlineStr">
        <is>
          <t>eng</t>
        </is>
      </c>
      <c r="R279" t="inlineStr">
        <is>
          <t>dcu</t>
        </is>
      </c>
      <c r="S279" t="inlineStr">
        <is>
          <t>Research bulletin</t>
        </is>
      </c>
      <c r="T279" t="inlineStr">
        <is>
          <t xml:space="preserve">W  </t>
        </is>
      </c>
      <c r="U279" t="n">
        <v>3</v>
      </c>
      <c r="V279" t="n">
        <v>3</v>
      </c>
      <c r="W279" t="inlineStr">
        <is>
          <t>2000-03-16</t>
        </is>
      </c>
      <c r="X279" t="inlineStr">
        <is>
          <t>2000-03-16</t>
        </is>
      </c>
      <c r="Y279" t="inlineStr">
        <is>
          <t>1990-11-30</t>
        </is>
      </c>
      <c r="Z279" t="inlineStr">
        <is>
          <t>1990-11-30</t>
        </is>
      </c>
      <c r="AA279" t="n">
        <v>460</v>
      </c>
      <c r="AB279" t="n">
        <v>452</v>
      </c>
      <c r="AC279" t="n">
        <v>454</v>
      </c>
      <c r="AD279" t="n">
        <v>6</v>
      </c>
      <c r="AE279" t="n">
        <v>6</v>
      </c>
      <c r="AF279" t="n">
        <v>21</v>
      </c>
      <c r="AG279" t="n">
        <v>21</v>
      </c>
      <c r="AH279" t="n">
        <v>8</v>
      </c>
      <c r="AI279" t="n">
        <v>8</v>
      </c>
      <c r="AJ279" t="n">
        <v>2</v>
      </c>
      <c r="AK279" t="n">
        <v>2</v>
      </c>
      <c r="AL279" t="n">
        <v>12</v>
      </c>
      <c r="AM279" t="n">
        <v>12</v>
      </c>
      <c r="AN279" t="n">
        <v>3</v>
      </c>
      <c r="AO279" t="n">
        <v>3</v>
      </c>
      <c r="AP279" t="n">
        <v>3</v>
      </c>
      <c r="AQ279" t="n">
        <v>3</v>
      </c>
      <c r="AR279" t="inlineStr">
        <is>
          <t>No</t>
        </is>
      </c>
      <c r="AS279" t="inlineStr">
        <is>
          <t>Yes</t>
        </is>
      </c>
      <c r="AT279">
        <f>HYPERLINK("http://catalog.hathitrust.org/Record/004502501","HathiTrust Record")</f>
        <v/>
      </c>
      <c r="AU279">
        <f>HYPERLINK("https://creighton-primo.hosted.exlibrisgroup.com/primo-explore/search?tab=default_tab&amp;search_scope=EVERYTHING&amp;vid=01CRU&amp;lang=en_US&amp;offset=0&amp;query=any,contains,991000781579702656","Catalog Record")</f>
        <v/>
      </c>
      <c r="AV279">
        <f>HYPERLINK("http://www.worldcat.org/oclc/22809216","WorldCat Record")</f>
        <v/>
      </c>
      <c r="AW279" t="inlineStr">
        <is>
          <t>1020765126:eng</t>
        </is>
      </c>
      <c r="AX279" t="inlineStr">
        <is>
          <t>22809216</t>
        </is>
      </c>
      <c r="AY279" t="inlineStr">
        <is>
          <t>991000781579702656</t>
        </is>
      </c>
      <c r="AZ279" t="inlineStr">
        <is>
          <t>991000781579702656</t>
        </is>
      </c>
      <c r="BA279" t="inlineStr">
        <is>
          <t>2271790570002656</t>
        </is>
      </c>
      <c r="BB279" t="inlineStr">
        <is>
          <t>BOOK</t>
        </is>
      </c>
      <c r="BE279" t="inlineStr">
        <is>
          <t>30001002064873</t>
        </is>
      </c>
      <c r="BF279" t="inlineStr">
        <is>
          <t>893642537</t>
        </is>
      </c>
    </row>
    <row r="280">
      <c r="A280" t="inlineStr">
        <is>
          <t>No</t>
        </is>
      </c>
      <c r="B280" t="inlineStr">
        <is>
          <t>CUHSL</t>
        </is>
      </c>
      <c r="C280" t="inlineStr">
        <is>
          <t>SHELVES</t>
        </is>
      </c>
      <c r="D280" t="inlineStr">
        <is>
          <t>W23 B255a 2002</t>
        </is>
      </c>
      <c r="E280" t="inlineStr">
        <is>
          <t>0                      W  0023000B  255a        2002</t>
        </is>
      </c>
      <c r="F280" t="inlineStr">
        <is>
          <t>At the helm : a laboratory navigator / Kathy Barker.</t>
        </is>
      </c>
      <c r="H280" t="inlineStr">
        <is>
          <t>No</t>
        </is>
      </c>
      <c r="I280" t="inlineStr">
        <is>
          <t>1</t>
        </is>
      </c>
      <c r="J280" t="inlineStr">
        <is>
          <t>No</t>
        </is>
      </c>
      <c r="K280" t="inlineStr">
        <is>
          <t>No</t>
        </is>
      </c>
      <c r="L280" t="inlineStr">
        <is>
          <t>0</t>
        </is>
      </c>
      <c r="M280" t="inlineStr">
        <is>
          <t>Barker, Kathy, 1953-</t>
        </is>
      </c>
      <c r="N280" t="inlineStr">
        <is>
          <t>Cold Spring Harbor, N.Y. : Cold Spring Harbor Laboratory Press, c2002.</t>
        </is>
      </c>
      <c r="O280" t="inlineStr">
        <is>
          <t>2002</t>
        </is>
      </c>
      <c r="Q280" t="inlineStr">
        <is>
          <t>eng</t>
        </is>
      </c>
      <c r="R280" t="inlineStr">
        <is>
          <t>nyu</t>
        </is>
      </c>
      <c r="T280" t="inlineStr">
        <is>
          <t xml:space="preserve">W  </t>
        </is>
      </c>
      <c r="U280" t="n">
        <v>2</v>
      </c>
      <c r="V280" t="n">
        <v>2</v>
      </c>
      <c r="W280" t="inlineStr">
        <is>
          <t>2010-06-17</t>
        </is>
      </c>
      <c r="X280" t="inlineStr">
        <is>
          <t>2010-06-17</t>
        </is>
      </c>
      <c r="Y280" t="inlineStr">
        <is>
          <t>2004-02-19</t>
        </is>
      </c>
      <c r="Z280" t="inlineStr">
        <is>
          <t>2004-02-19</t>
        </is>
      </c>
      <c r="AA280" t="n">
        <v>306</v>
      </c>
      <c r="AB280" t="n">
        <v>225</v>
      </c>
      <c r="AC280" t="n">
        <v>225</v>
      </c>
      <c r="AD280" t="n">
        <v>1</v>
      </c>
      <c r="AE280" t="n">
        <v>1</v>
      </c>
      <c r="AF280" t="n">
        <v>3</v>
      </c>
      <c r="AG280" t="n">
        <v>3</v>
      </c>
      <c r="AH280" t="n">
        <v>1</v>
      </c>
      <c r="AI280" t="n">
        <v>1</v>
      </c>
      <c r="AJ280" t="n">
        <v>2</v>
      </c>
      <c r="AK280" t="n">
        <v>2</v>
      </c>
      <c r="AL280" t="n">
        <v>1</v>
      </c>
      <c r="AM280" t="n">
        <v>1</v>
      </c>
      <c r="AN280" t="n">
        <v>0</v>
      </c>
      <c r="AO280" t="n">
        <v>0</v>
      </c>
      <c r="AP280" t="n">
        <v>0</v>
      </c>
      <c r="AQ280" t="n">
        <v>0</v>
      </c>
      <c r="AR280" t="inlineStr">
        <is>
          <t>No</t>
        </is>
      </c>
      <c r="AS280" t="inlineStr">
        <is>
          <t>No</t>
        </is>
      </c>
      <c r="AU280">
        <f>HYPERLINK("https://creighton-primo.hosted.exlibrisgroup.com/primo-explore/search?tab=default_tab&amp;search_scope=EVERYTHING&amp;vid=01CRU&amp;lang=en_US&amp;offset=0&amp;query=any,contains,991000366149702656","Catalog Record")</f>
        <v/>
      </c>
      <c r="AV280">
        <f>HYPERLINK("http://www.worldcat.org/oclc/47849507","WorldCat Record")</f>
        <v/>
      </c>
      <c r="AW280" t="inlineStr">
        <is>
          <t>325502203:eng</t>
        </is>
      </c>
      <c r="AX280" t="inlineStr">
        <is>
          <t>47849507</t>
        </is>
      </c>
      <c r="AY280" t="inlineStr">
        <is>
          <t>991000366149702656</t>
        </is>
      </c>
      <c r="AZ280" t="inlineStr">
        <is>
          <t>991000366149702656</t>
        </is>
      </c>
      <c r="BA280" t="inlineStr">
        <is>
          <t>2261126130002656</t>
        </is>
      </c>
      <c r="BB280" t="inlineStr">
        <is>
          <t>BOOK</t>
        </is>
      </c>
      <c r="BD280" t="inlineStr">
        <is>
          <t>9780879695835</t>
        </is>
      </c>
      <c r="BE280" t="inlineStr">
        <is>
          <t>30001004509313</t>
        </is>
      </c>
      <c r="BF280" t="inlineStr">
        <is>
          <t>893354250</t>
        </is>
      </c>
    </row>
    <row r="281">
      <c r="A281" t="inlineStr">
        <is>
          <t>No</t>
        </is>
      </c>
      <c r="B281" t="inlineStr">
        <is>
          <t>CUHSL</t>
        </is>
      </c>
      <c r="C281" t="inlineStr">
        <is>
          <t>SHELVES</t>
        </is>
      </c>
      <c r="D281" t="inlineStr">
        <is>
          <t>W 23 C839 1998</t>
        </is>
      </c>
      <c r="E281" t="inlineStr">
        <is>
          <t>0                      W  0023000C  839         1998</t>
        </is>
      </c>
      <c r="F281" t="inlineStr">
        <is>
          <t>Cost-effective laboratory management / editor, Paul Bozzo ; foreword by Brent C. James.</t>
        </is>
      </c>
      <c r="H281" t="inlineStr">
        <is>
          <t>No</t>
        </is>
      </c>
      <c r="I281" t="inlineStr">
        <is>
          <t>1</t>
        </is>
      </c>
      <c r="J281" t="inlineStr">
        <is>
          <t>No</t>
        </is>
      </c>
      <c r="K281" t="inlineStr">
        <is>
          <t>No</t>
        </is>
      </c>
      <c r="L281" t="inlineStr">
        <is>
          <t>0</t>
        </is>
      </c>
      <c r="N281" t="inlineStr">
        <is>
          <t>Philadelphia : Lippincott-Reaven, c1998.</t>
        </is>
      </c>
      <c r="O281" t="inlineStr">
        <is>
          <t>1998</t>
        </is>
      </c>
      <c r="Q281" t="inlineStr">
        <is>
          <t>eng</t>
        </is>
      </c>
      <c r="R281" t="inlineStr">
        <is>
          <t>pau</t>
        </is>
      </c>
      <c r="T281" t="inlineStr">
        <is>
          <t xml:space="preserve">W  </t>
        </is>
      </c>
      <c r="U281" t="n">
        <v>2</v>
      </c>
      <c r="V281" t="n">
        <v>2</v>
      </c>
      <c r="W281" t="inlineStr">
        <is>
          <t>1999-03-29</t>
        </is>
      </c>
      <c r="X281" t="inlineStr">
        <is>
          <t>1999-03-29</t>
        </is>
      </c>
      <c r="Y281" t="inlineStr">
        <is>
          <t>1999-03-25</t>
        </is>
      </c>
      <c r="Z281" t="inlineStr">
        <is>
          <t>1999-03-25</t>
        </is>
      </c>
      <c r="AA281" t="n">
        <v>60</v>
      </c>
      <c r="AB281" t="n">
        <v>47</v>
      </c>
      <c r="AC281" t="n">
        <v>49</v>
      </c>
      <c r="AD281" t="n">
        <v>2</v>
      </c>
      <c r="AE281" t="n">
        <v>2</v>
      </c>
      <c r="AF281" t="n">
        <v>1</v>
      </c>
      <c r="AG281" t="n">
        <v>1</v>
      </c>
      <c r="AH281" t="n">
        <v>0</v>
      </c>
      <c r="AI281" t="n">
        <v>0</v>
      </c>
      <c r="AJ281" t="n">
        <v>0</v>
      </c>
      <c r="AK281" t="n">
        <v>0</v>
      </c>
      <c r="AL281" t="n">
        <v>0</v>
      </c>
      <c r="AM281" t="n">
        <v>0</v>
      </c>
      <c r="AN281" t="n">
        <v>1</v>
      </c>
      <c r="AO281" t="n">
        <v>1</v>
      </c>
      <c r="AP281" t="n">
        <v>0</v>
      </c>
      <c r="AQ281" t="n">
        <v>0</v>
      </c>
      <c r="AR281" t="inlineStr">
        <is>
          <t>No</t>
        </is>
      </c>
      <c r="AS281" t="inlineStr">
        <is>
          <t>Yes</t>
        </is>
      </c>
      <c r="AT281">
        <f>HYPERLINK("http://catalog.hathitrust.org/Record/010378849","HathiTrust Record")</f>
        <v/>
      </c>
      <c r="AU281">
        <f>HYPERLINK("https://creighton-primo.hosted.exlibrisgroup.com/primo-explore/search?tab=default_tab&amp;search_scope=EVERYTHING&amp;vid=01CRU&amp;lang=en_US&amp;offset=0&amp;query=any,contains,991000782769702656","Catalog Record")</f>
        <v/>
      </c>
      <c r="AV281">
        <f>HYPERLINK("http://www.worldcat.org/oclc/38937488","WorldCat Record")</f>
        <v/>
      </c>
      <c r="AW281" t="inlineStr">
        <is>
          <t>42414138:eng</t>
        </is>
      </c>
      <c r="AX281" t="inlineStr">
        <is>
          <t>38937488</t>
        </is>
      </c>
      <c r="AY281" t="inlineStr">
        <is>
          <t>991000782769702656</t>
        </is>
      </c>
      <c r="AZ281" t="inlineStr">
        <is>
          <t>991000782769702656</t>
        </is>
      </c>
      <c r="BA281" t="inlineStr">
        <is>
          <t>2268634360002656</t>
        </is>
      </c>
      <c r="BB281" t="inlineStr">
        <is>
          <t>BOOK</t>
        </is>
      </c>
      <c r="BD281" t="inlineStr">
        <is>
          <t>9780397587735</t>
        </is>
      </c>
      <c r="BE281" t="inlineStr">
        <is>
          <t>30001004070357</t>
        </is>
      </c>
      <c r="BF281" t="inlineStr">
        <is>
          <t>893740221</t>
        </is>
      </c>
    </row>
    <row r="282">
      <c r="A282" t="inlineStr">
        <is>
          <t>No</t>
        </is>
      </c>
      <c r="B282" t="inlineStr">
        <is>
          <t>CUHSL</t>
        </is>
      </c>
      <c r="C282" t="inlineStr">
        <is>
          <t>SHELVES</t>
        </is>
      </c>
      <c r="D282" t="inlineStr">
        <is>
          <t>W 26 L478e 1983</t>
        </is>
      </c>
      <c r="E282" t="inlineStr">
        <is>
          <t>0                      W  0026000L  478e        1983</t>
        </is>
      </c>
      <c r="F282" t="inlineStr">
        <is>
          <t>Elementary principles of laboratory instruments / Leslie W. Lee, L.M. Schmidt.</t>
        </is>
      </c>
      <c r="H282" t="inlineStr">
        <is>
          <t>No</t>
        </is>
      </c>
      <c r="I282" t="inlineStr">
        <is>
          <t>1</t>
        </is>
      </c>
      <c r="J282" t="inlineStr">
        <is>
          <t>No</t>
        </is>
      </c>
      <c r="K282" t="inlineStr">
        <is>
          <t>No</t>
        </is>
      </c>
      <c r="L282" t="inlineStr">
        <is>
          <t>0</t>
        </is>
      </c>
      <c r="M282" t="inlineStr">
        <is>
          <t>Lee, Leslie W.</t>
        </is>
      </c>
      <c r="N282" t="inlineStr">
        <is>
          <t>St. Louis : Mosby, c1983.</t>
        </is>
      </c>
      <c r="O282" t="inlineStr">
        <is>
          <t>1983</t>
        </is>
      </c>
      <c r="P282" t="inlineStr">
        <is>
          <t>5th ed.</t>
        </is>
      </c>
      <c r="Q282" t="inlineStr">
        <is>
          <t>eng</t>
        </is>
      </c>
      <c r="R282" t="inlineStr">
        <is>
          <t>xxu</t>
        </is>
      </c>
      <c r="T282" t="inlineStr">
        <is>
          <t xml:space="preserve">W  </t>
        </is>
      </c>
      <c r="U282" t="n">
        <v>2</v>
      </c>
      <c r="V282" t="n">
        <v>2</v>
      </c>
      <c r="W282" t="inlineStr">
        <is>
          <t>1989-03-27</t>
        </is>
      </c>
      <c r="X282" t="inlineStr">
        <is>
          <t>1989-03-27</t>
        </is>
      </c>
      <c r="Y282" t="inlineStr">
        <is>
          <t>1987-10-01</t>
        </is>
      </c>
      <c r="Z282" t="inlineStr">
        <is>
          <t>1987-10-01</t>
        </is>
      </c>
      <c r="AA282" t="n">
        <v>150</v>
      </c>
      <c r="AB282" t="n">
        <v>121</v>
      </c>
      <c r="AC282" t="n">
        <v>311</v>
      </c>
      <c r="AD282" t="n">
        <v>2</v>
      </c>
      <c r="AE282" t="n">
        <v>5</v>
      </c>
      <c r="AF282" t="n">
        <v>3</v>
      </c>
      <c r="AG282" t="n">
        <v>11</v>
      </c>
      <c r="AH282" t="n">
        <v>1</v>
      </c>
      <c r="AI282" t="n">
        <v>2</v>
      </c>
      <c r="AJ282" t="n">
        <v>1</v>
      </c>
      <c r="AK282" t="n">
        <v>2</v>
      </c>
      <c r="AL282" t="n">
        <v>1</v>
      </c>
      <c r="AM282" t="n">
        <v>4</v>
      </c>
      <c r="AN282" t="n">
        <v>1</v>
      </c>
      <c r="AO282" t="n">
        <v>4</v>
      </c>
      <c r="AP282" t="n">
        <v>0</v>
      </c>
      <c r="AQ282" t="n">
        <v>0</v>
      </c>
      <c r="AR282" t="inlineStr">
        <is>
          <t>No</t>
        </is>
      </c>
      <c r="AS282" t="inlineStr">
        <is>
          <t>Yes</t>
        </is>
      </c>
      <c r="AT282">
        <f>HYPERLINK("http://catalog.hathitrust.org/Record/000277282","HathiTrust Record")</f>
        <v/>
      </c>
      <c r="AU282">
        <f>HYPERLINK("https://creighton-primo.hosted.exlibrisgroup.com/primo-explore/search?tab=default_tab&amp;search_scope=EVERYTHING&amp;vid=01CRU&amp;lang=en_US&amp;offset=0&amp;query=any,contains,991001179249702656","Catalog Record")</f>
        <v/>
      </c>
      <c r="AV282">
        <f>HYPERLINK("http://www.worldcat.org/oclc/9066522","WorldCat Record")</f>
        <v/>
      </c>
      <c r="AW282" t="inlineStr">
        <is>
          <t>1230196:eng</t>
        </is>
      </c>
      <c r="AX282" t="inlineStr">
        <is>
          <t>9066522</t>
        </is>
      </c>
      <c r="AY282" t="inlineStr">
        <is>
          <t>991001179249702656</t>
        </is>
      </c>
      <c r="AZ282" t="inlineStr">
        <is>
          <t>991001179249702656</t>
        </is>
      </c>
      <c r="BA282" t="inlineStr">
        <is>
          <t>2257906470002656</t>
        </is>
      </c>
      <c r="BB282" t="inlineStr">
        <is>
          <t>BOOK</t>
        </is>
      </c>
      <c r="BD282" t="inlineStr">
        <is>
          <t>9780801629181</t>
        </is>
      </c>
      <c r="BE282" t="inlineStr">
        <is>
          <t>30001000308660</t>
        </is>
      </c>
      <c r="BF282" t="inlineStr">
        <is>
          <t>893161743</t>
        </is>
      </c>
    </row>
    <row r="283">
      <c r="A283" t="inlineStr">
        <is>
          <t>No</t>
        </is>
      </c>
      <c r="B283" t="inlineStr">
        <is>
          <t>CUHSL</t>
        </is>
      </c>
      <c r="C283" t="inlineStr">
        <is>
          <t>SHELVES</t>
        </is>
      </c>
      <c r="D283" t="inlineStr">
        <is>
          <t>W 26 S364p 1993</t>
        </is>
      </c>
      <c r="E283" t="inlineStr">
        <is>
          <t>0                      W  0026000S  364p        1993</t>
        </is>
      </c>
      <c r="F283" t="inlineStr">
        <is>
          <t>Principles of laboratory instruments / [edited by] Larry E. Schoeff, Robert H. Williams.</t>
        </is>
      </c>
      <c r="H283" t="inlineStr">
        <is>
          <t>No</t>
        </is>
      </c>
      <c r="I283" t="inlineStr">
        <is>
          <t>1</t>
        </is>
      </c>
      <c r="J283" t="inlineStr">
        <is>
          <t>No</t>
        </is>
      </c>
      <c r="K283" t="inlineStr">
        <is>
          <t>No</t>
        </is>
      </c>
      <c r="L283" t="inlineStr">
        <is>
          <t>0</t>
        </is>
      </c>
      <c r="N283" t="inlineStr">
        <is>
          <t>St. Louis : Mosby-Year Book, c1993.</t>
        </is>
      </c>
      <c r="O283" t="inlineStr">
        <is>
          <t>1993</t>
        </is>
      </c>
      <c r="Q283" t="inlineStr">
        <is>
          <t>eng</t>
        </is>
      </c>
      <c r="R283" t="inlineStr">
        <is>
          <t>mou</t>
        </is>
      </c>
      <c r="T283" t="inlineStr">
        <is>
          <t xml:space="preserve">W  </t>
        </is>
      </c>
      <c r="U283" t="n">
        <v>14</v>
      </c>
      <c r="V283" t="n">
        <v>14</v>
      </c>
      <c r="W283" t="inlineStr">
        <is>
          <t>2009-01-07</t>
        </is>
      </c>
      <c r="X283" t="inlineStr">
        <is>
          <t>2009-01-07</t>
        </is>
      </c>
      <c r="Y283" t="inlineStr">
        <is>
          <t>1993-09-02</t>
        </is>
      </c>
      <c r="Z283" t="inlineStr">
        <is>
          <t>1993-09-02</t>
        </is>
      </c>
      <c r="AA283" t="n">
        <v>183</v>
      </c>
      <c r="AB283" t="n">
        <v>137</v>
      </c>
      <c r="AC283" t="n">
        <v>138</v>
      </c>
      <c r="AD283" t="n">
        <v>2</v>
      </c>
      <c r="AE283" t="n">
        <v>2</v>
      </c>
      <c r="AF283" t="n">
        <v>3</v>
      </c>
      <c r="AG283" t="n">
        <v>3</v>
      </c>
      <c r="AH283" t="n">
        <v>1</v>
      </c>
      <c r="AI283" t="n">
        <v>1</v>
      </c>
      <c r="AJ283" t="n">
        <v>0</v>
      </c>
      <c r="AK283" t="n">
        <v>0</v>
      </c>
      <c r="AL283" t="n">
        <v>1</v>
      </c>
      <c r="AM283" t="n">
        <v>1</v>
      </c>
      <c r="AN283" t="n">
        <v>1</v>
      </c>
      <c r="AO283" t="n">
        <v>1</v>
      </c>
      <c r="AP283" t="n">
        <v>0</v>
      </c>
      <c r="AQ283" t="n">
        <v>0</v>
      </c>
      <c r="AR283" t="inlineStr">
        <is>
          <t>No</t>
        </is>
      </c>
      <c r="AS283" t="inlineStr">
        <is>
          <t>No</t>
        </is>
      </c>
      <c r="AU283">
        <f>HYPERLINK("https://creighton-primo.hosted.exlibrisgroup.com/primo-explore/search?tab=default_tab&amp;search_scope=EVERYTHING&amp;vid=01CRU&amp;lang=en_US&amp;offset=0&amp;query=any,contains,991001514009702656","Catalog Record")</f>
        <v/>
      </c>
      <c r="AV283">
        <f>HYPERLINK("http://www.worldcat.org/oclc/26214611","WorldCat Record")</f>
        <v/>
      </c>
      <c r="AW283" t="inlineStr">
        <is>
          <t>28818287:eng</t>
        </is>
      </c>
      <c r="AX283" t="inlineStr">
        <is>
          <t>26214611</t>
        </is>
      </c>
      <c r="AY283" t="inlineStr">
        <is>
          <t>991001514009702656</t>
        </is>
      </c>
      <c r="AZ283" t="inlineStr">
        <is>
          <t>991001514009702656</t>
        </is>
      </c>
      <c r="BA283" t="inlineStr">
        <is>
          <t>2262629110002656</t>
        </is>
      </c>
      <c r="BB283" t="inlineStr">
        <is>
          <t>BOOK</t>
        </is>
      </c>
      <c r="BD283" t="inlineStr">
        <is>
          <t>9780801674891</t>
        </is>
      </c>
      <c r="BE283" t="inlineStr">
        <is>
          <t>30001002601450</t>
        </is>
      </c>
      <c r="BF283" t="inlineStr">
        <is>
          <t>893643655</t>
        </is>
      </c>
    </row>
    <row r="284">
      <c r="A284" t="inlineStr">
        <is>
          <t>No</t>
        </is>
      </c>
      <c r="B284" t="inlineStr">
        <is>
          <t>CUHSL</t>
        </is>
      </c>
      <c r="C284" t="inlineStr">
        <is>
          <t>SHELVES</t>
        </is>
      </c>
      <c r="D284" t="inlineStr">
        <is>
          <t>W26.5 A547e 2002</t>
        </is>
      </c>
      <c r="E284" t="inlineStr">
        <is>
          <t>0                      W  0026500A  547e        2002</t>
        </is>
      </c>
      <c r="F284" t="inlineStr">
        <is>
          <t>Ethics and information technology : a case-based approach to a health care system in transition / James G. Anderson, Kenneth W. Goodman.</t>
        </is>
      </c>
      <c r="H284" t="inlineStr">
        <is>
          <t>No</t>
        </is>
      </c>
      <c r="I284" t="inlineStr">
        <is>
          <t>1</t>
        </is>
      </c>
      <c r="J284" t="inlineStr">
        <is>
          <t>No</t>
        </is>
      </c>
      <c r="K284" t="inlineStr">
        <is>
          <t>No</t>
        </is>
      </c>
      <c r="L284" t="inlineStr">
        <is>
          <t>0</t>
        </is>
      </c>
      <c r="M284" t="inlineStr">
        <is>
          <t>Anderson, James G., 1936-</t>
        </is>
      </c>
      <c r="N284" t="inlineStr">
        <is>
          <t>New York : Springer, c2002.</t>
        </is>
      </c>
      <c r="O284" t="inlineStr">
        <is>
          <t>2002</t>
        </is>
      </c>
      <c r="Q284" t="inlineStr">
        <is>
          <t>eng</t>
        </is>
      </c>
      <c r="R284" t="inlineStr">
        <is>
          <t>nyu</t>
        </is>
      </c>
      <c r="S284" t="inlineStr">
        <is>
          <t>Health informatics</t>
        </is>
      </c>
      <c r="T284" t="inlineStr">
        <is>
          <t xml:space="preserve">W  </t>
        </is>
      </c>
      <c r="U284" t="n">
        <v>3</v>
      </c>
      <c r="V284" t="n">
        <v>3</v>
      </c>
      <c r="W284" t="inlineStr">
        <is>
          <t>2008-04-16</t>
        </is>
      </c>
      <c r="X284" t="inlineStr">
        <is>
          <t>2008-04-16</t>
        </is>
      </c>
      <c r="Y284" t="inlineStr">
        <is>
          <t>2003-03-21</t>
        </is>
      </c>
      <c r="Z284" t="inlineStr">
        <is>
          <t>2003-03-21</t>
        </is>
      </c>
      <c r="AA284" t="n">
        <v>229</v>
      </c>
      <c r="AB284" t="n">
        <v>162</v>
      </c>
      <c r="AC284" t="n">
        <v>350</v>
      </c>
      <c r="AD284" t="n">
        <v>2</v>
      </c>
      <c r="AE284" t="n">
        <v>2</v>
      </c>
      <c r="AF284" t="n">
        <v>7</v>
      </c>
      <c r="AG284" t="n">
        <v>9</v>
      </c>
      <c r="AH284" t="n">
        <v>1</v>
      </c>
      <c r="AI284" t="n">
        <v>1</v>
      </c>
      <c r="AJ284" t="n">
        <v>2</v>
      </c>
      <c r="AK284" t="n">
        <v>4</v>
      </c>
      <c r="AL284" t="n">
        <v>4</v>
      </c>
      <c r="AM284" t="n">
        <v>6</v>
      </c>
      <c r="AN284" t="n">
        <v>1</v>
      </c>
      <c r="AO284" t="n">
        <v>1</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HYPERLINK("https://creighton-primo.hosted.exlibrisgroup.com/primo-explore/search?tab=default_tab&amp;search_scope=EVERYTHING&amp;vid=01CRU&amp;lang=en_US&amp;offset=0&amp;query=any,contains,991000341979702656","Catalog Record")</f>
        <v/>
      </c>
      <c r="AV284">
        <f>HYPERLINK("http://www.worldcat.org/oclc/46936220","WorldCat Record")</f>
        <v/>
      </c>
      <c r="AW284" t="inlineStr">
        <is>
          <t>799758653:eng</t>
        </is>
      </c>
      <c r="AX284" t="inlineStr">
        <is>
          <t>46936220</t>
        </is>
      </c>
      <c r="AY284" t="inlineStr">
        <is>
          <t>991000341979702656</t>
        </is>
      </c>
      <c r="AZ284" t="inlineStr">
        <is>
          <t>991000341979702656</t>
        </is>
      </c>
      <c r="BA284" t="inlineStr">
        <is>
          <t>2262509280002656</t>
        </is>
      </c>
      <c r="BB284" t="inlineStr">
        <is>
          <t>BOOK</t>
        </is>
      </c>
      <c r="BD284" t="inlineStr">
        <is>
          <t>9780387953083</t>
        </is>
      </c>
      <c r="BE284" t="inlineStr">
        <is>
          <t>30001004503720</t>
        </is>
      </c>
      <c r="BF284" t="inlineStr">
        <is>
          <t>893817030</t>
        </is>
      </c>
    </row>
    <row r="285">
      <c r="A285" t="inlineStr">
        <is>
          <t>No</t>
        </is>
      </c>
      <c r="B285" t="inlineStr">
        <is>
          <t>CUHSL</t>
        </is>
      </c>
      <c r="C285" t="inlineStr">
        <is>
          <t>SHELVES</t>
        </is>
      </c>
      <c r="D285" t="inlineStr">
        <is>
          <t>W 26.5 A549c 1992</t>
        </is>
      </c>
      <c r="E285" t="inlineStr">
        <is>
          <t>0                      W  0026500A  549c        1992</t>
        </is>
      </c>
      <c r="F285" t="inlineStr">
        <is>
          <t>Computer literacy for health care professionals / S.K. Anderson.</t>
        </is>
      </c>
      <c r="H285" t="inlineStr">
        <is>
          <t>No</t>
        </is>
      </c>
      <c r="I285" t="inlineStr">
        <is>
          <t>1</t>
        </is>
      </c>
      <c r="J285" t="inlineStr">
        <is>
          <t>No</t>
        </is>
      </c>
      <c r="K285" t="inlineStr">
        <is>
          <t>No</t>
        </is>
      </c>
      <c r="L285" t="inlineStr">
        <is>
          <t>0</t>
        </is>
      </c>
      <c r="M285" t="inlineStr">
        <is>
          <t>Anderson, Sandra K.</t>
        </is>
      </c>
      <c r="N285" t="inlineStr">
        <is>
          <t>Albany, N.Y. : Delmar Publishers, c1992.</t>
        </is>
      </c>
      <c r="O285" t="inlineStr">
        <is>
          <t>1992</t>
        </is>
      </c>
      <c r="Q285" t="inlineStr">
        <is>
          <t>eng</t>
        </is>
      </c>
      <c r="R285" t="inlineStr">
        <is>
          <t>xxu</t>
        </is>
      </c>
      <c r="T285" t="inlineStr">
        <is>
          <t xml:space="preserve">W  </t>
        </is>
      </c>
      <c r="U285" t="n">
        <v>2</v>
      </c>
      <c r="V285" t="n">
        <v>2</v>
      </c>
      <c r="W285" t="inlineStr">
        <is>
          <t>1992-04-23</t>
        </is>
      </c>
      <c r="X285" t="inlineStr">
        <is>
          <t>1992-04-23</t>
        </is>
      </c>
      <c r="Y285" t="inlineStr">
        <is>
          <t>1992-04-23</t>
        </is>
      </c>
      <c r="Z285" t="inlineStr">
        <is>
          <t>1992-04-23</t>
        </is>
      </c>
      <c r="AA285" t="n">
        <v>152</v>
      </c>
      <c r="AB285" t="n">
        <v>114</v>
      </c>
      <c r="AC285" t="n">
        <v>131</v>
      </c>
      <c r="AD285" t="n">
        <v>1</v>
      </c>
      <c r="AE285" t="n">
        <v>1</v>
      </c>
      <c r="AF285" t="n">
        <v>3</v>
      </c>
      <c r="AG285" t="n">
        <v>5</v>
      </c>
      <c r="AH285" t="n">
        <v>2</v>
      </c>
      <c r="AI285" t="n">
        <v>3</v>
      </c>
      <c r="AJ285" t="n">
        <v>0</v>
      </c>
      <c r="AK285" t="n">
        <v>1</v>
      </c>
      <c r="AL285" t="n">
        <v>2</v>
      </c>
      <c r="AM285" t="n">
        <v>2</v>
      </c>
      <c r="AN285" t="n">
        <v>0</v>
      </c>
      <c r="AO285" t="n">
        <v>0</v>
      </c>
      <c r="AP285" t="n">
        <v>0</v>
      </c>
      <c r="AQ285" t="n">
        <v>0</v>
      </c>
      <c r="AR285" t="inlineStr">
        <is>
          <t>No</t>
        </is>
      </c>
      <c r="AS285" t="inlineStr">
        <is>
          <t>Yes</t>
        </is>
      </c>
      <c r="AT285">
        <f>HYPERLINK("http://catalog.hathitrust.org/Record/002604040","HathiTrust Record")</f>
        <v/>
      </c>
      <c r="AU285">
        <f>HYPERLINK("https://creighton-primo.hosted.exlibrisgroup.com/primo-explore/search?tab=default_tab&amp;search_scope=EVERYTHING&amp;vid=01CRU&amp;lang=en_US&amp;offset=0&amp;query=any,contains,991001302929702656","Catalog Record")</f>
        <v/>
      </c>
      <c r="AV285">
        <f>HYPERLINK("http://www.worldcat.org/oclc/24287803","WorldCat Record")</f>
        <v/>
      </c>
      <c r="AW285" t="inlineStr">
        <is>
          <t>27097099:eng</t>
        </is>
      </c>
      <c r="AX285" t="inlineStr">
        <is>
          <t>24287803</t>
        </is>
      </c>
      <c r="AY285" t="inlineStr">
        <is>
          <t>991001302929702656</t>
        </is>
      </c>
      <c r="AZ285" t="inlineStr">
        <is>
          <t>991001302929702656</t>
        </is>
      </c>
      <c r="BA285" t="inlineStr">
        <is>
          <t>2269452370002656</t>
        </is>
      </c>
      <c r="BB285" t="inlineStr">
        <is>
          <t>BOOK</t>
        </is>
      </c>
      <c r="BD285" t="inlineStr">
        <is>
          <t>9780827341715</t>
        </is>
      </c>
      <c r="BE285" t="inlineStr">
        <is>
          <t>30001002412544</t>
        </is>
      </c>
      <c r="BF285" t="inlineStr">
        <is>
          <t>893832083</t>
        </is>
      </c>
    </row>
    <row r="286">
      <c r="A286" t="inlineStr">
        <is>
          <t>No</t>
        </is>
      </c>
      <c r="B286" t="inlineStr">
        <is>
          <t>CUHSL</t>
        </is>
      </c>
      <c r="C286" t="inlineStr">
        <is>
          <t>SHELVES</t>
        </is>
      </c>
      <c r="D286" t="inlineStr">
        <is>
          <t>W 26.5 B6153 2006</t>
        </is>
      </c>
      <c r="E286" t="inlineStr">
        <is>
          <t>0                      W  0026500B  6153        2006</t>
        </is>
      </c>
      <c r="F286" t="inlineStr">
        <is>
          <t>Biomedical informatics : computer applications in health care and biomedicine / Edward H. Shortliffe, editor ; James J. Cimino, associate editor.</t>
        </is>
      </c>
      <c r="H286" t="inlineStr">
        <is>
          <t>No</t>
        </is>
      </c>
      <c r="I286" t="inlineStr">
        <is>
          <t>1</t>
        </is>
      </c>
      <c r="J286" t="inlineStr">
        <is>
          <t>No</t>
        </is>
      </c>
      <c r="K286" t="inlineStr">
        <is>
          <t>No</t>
        </is>
      </c>
      <c r="L286" t="inlineStr">
        <is>
          <t>2</t>
        </is>
      </c>
      <c r="N286" t="inlineStr">
        <is>
          <t>New York, NY : Springer, c2006.</t>
        </is>
      </c>
      <c r="O286" t="inlineStr">
        <is>
          <t>2006</t>
        </is>
      </c>
      <c r="P286" t="inlineStr">
        <is>
          <t>3rd ed.</t>
        </is>
      </c>
      <c r="Q286" t="inlineStr">
        <is>
          <t>eng</t>
        </is>
      </c>
      <c r="R286" t="inlineStr">
        <is>
          <t>nyu</t>
        </is>
      </c>
      <c r="S286" t="inlineStr">
        <is>
          <t>Health informatics series</t>
        </is>
      </c>
      <c r="T286" t="inlineStr">
        <is>
          <t xml:space="preserve">W  </t>
        </is>
      </c>
      <c r="U286" t="n">
        <v>4</v>
      </c>
      <c r="V286" t="n">
        <v>4</v>
      </c>
      <c r="W286" t="inlineStr">
        <is>
          <t>2009-03-31</t>
        </is>
      </c>
      <c r="X286" t="inlineStr">
        <is>
          <t>2009-03-31</t>
        </is>
      </c>
      <c r="Y286" t="inlineStr">
        <is>
          <t>2008-08-18</t>
        </is>
      </c>
      <c r="Z286" t="inlineStr">
        <is>
          <t>2008-08-18</t>
        </is>
      </c>
      <c r="AA286" t="n">
        <v>327</v>
      </c>
      <c r="AB286" t="n">
        <v>240</v>
      </c>
      <c r="AC286" t="n">
        <v>589</v>
      </c>
      <c r="AD286" t="n">
        <v>3</v>
      </c>
      <c r="AE286" t="n">
        <v>6</v>
      </c>
      <c r="AF286" t="n">
        <v>8</v>
      </c>
      <c r="AG286" t="n">
        <v>25</v>
      </c>
      <c r="AH286" t="n">
        <v>1</v>
      </c>
      <c r="AI286" t="n">
        <v>9</v>
      </c>
      <c r="AJ286" t="n">
        <v>3</v>
      </c>
      <c r="AK286" t="n">
        <v>7</v>
      </c>
      <c r="AL286" t="n">
        <v>3</v>
      </c>
      <c r="AM286" t="n">
        <v>12</v>
      </c>
      <c r="AN286" t="n">
        <v>2</v>
      </c>
      <c r="AO286" t="n">
        <v>4</v>
      </c>
      <c r="AP286" t="n">
        <v>0</v>
      </c>
      <c r="AQ286" t="n">
        <v>0</v>
      </c>
      <c r="AR286" t="inlineStr">
        <is>
          <t>No</t>
        </is>
      </c>
      <c r="AS286" t="inlineStr">
        <is>
          <t>Yes</t>
        </is>
      </c>
      <c r="AT286">
        <f>HYPERLINK("http://catalog.hathitrust.org/Record/005259323","HathiTrust Record")</f>
        <v/>
      </c>
      <c r="AU286">
        <f>HYPERLINK("https://creighton-primo.hosted.exlibrisgroup.com/primo-explore/search?tab=default_tab&amp;search_scope=EVERYTHING&amp;vid=01CRU&amp;lang=en_US&amp;offset=0&amp;query=any,contains,991000910309702656","Catalog Record")</f>
        <v/>
      </c>
      <c r="AV286">
        <f>HYPERLINK("http://www.worldcat.org/oclc/70204906","WorldCat Record")</f>
        <v/>
      </c>
      <c r="AW286" t="inlineStr">
        <is>
          <t>892003546:eng</t>
        </is>
      </c>
      <c r="AX286" t="inlineStr">
        <is>
          <t>70204906</t>
        </is>
      </c>
      <c r="AY286" t="inlineStr">
        <is>
          <t>991000910309702656</t>
        </is>
      </c>
      <c r="AZ286" t="inlineStr">
        <is>
          <t>991000910309702656</t>
        </is>
      </c>
      <c r="BA286" t="inlineStr">
        <is>
          <t>2259196670002656</t>
        </is>
      </c>
      <c r="BB286" t="inlineStr">
        <is>
          <t>BOOK</t>
        </is>
      </c>
      <c r="BD286" t="inlineStr">
        <is>
          <t>9780387217215</t>
        </is>
      </c>
      <c r="BE286" t="inlineStr">
        <is>
          <t>30001005294766</t>
        </is>
      </c>
      <c r="BF286" t="inlineStr">
        <is>
          <t>893731526</t>
        </is>
      </c>
    </row>
    <row r="287">
      <c r="A287" t="inlineStr">
        <is>
          <t>No</t>
        </is>
      </c>
      <c r="B287" t="inlineStr">
        <is>
          <t>CUHSL</t>
        </is>
      </c>
      <c r="C287" t="inlineStr">
        <is>
          <t>SHELVES</t>
        </is>
      </c>
      <c r="D287" t="inlineStr">
        <is>
          <t>W 26.5 C7383 1985</t>
        </is>
      </c>
      <c r="E287" t="inlineStr">
        <is>
          <t>0                      W  0026500C  7383        1985</t>
        </is>
      </c>
      <c r="F287" t="inlineStr">
        <is>
          <t>Computer-assisted medical decision making / edited by James A. Reggia and Stanley Tuhrim.</t>
        </is>
      </c>
      <c r="G287" t="inlineStr">
        <is>
          <t>V. 2</t>
        </is>
      </c>
      <c r="H287" t="inlineStr">
        <is>
          <t>Yes</t>
        </is>
      </c>
      <c r="I287" t="inlineStr">
        <is>
          <t>1</t>
        </is>
      </c>
      <c r="J287" t="inlineStr">
        <is>
          <t>No</t>
        </is>
      </c>
      <c r="K287" t="inlineStr">
        <is>
          <t>No</t>
        </is>
      </c>
      <c r="L287" t="inlineStr">
        <is>
          <t>0</t>
        </is>
      </c>
      <c r="N287" t="inlineStr">
        <is>
          <t>New York : Springer-Verlag, c1985.</t>
        </is>
      </c>
      <c r="O287" t="inlineStr">
        <is>
          <t>1985</t>
        </is>
      </c>
      <c r="Q287" t="inlineStr">
        <is>
          <t>eng</t>
        </is>
      </c>
      <c r="R287" t="inlineStr">
        <is>
          <t>xxu</t>
        </is>
      </c>
      <c r="S287" t="inlineStr">
        <is>
          <t>Computers and medicine</t>
        </is>
      </c>
      <c r="T287" t="inlineStr">
        <is>
          <t xml:space="preserve">W  </t>
        </is>
      </c>
      <c r="U287" t="n">
        <v>1</v>
      </c>
      <c r="V287" t="n">
        <v>2</v>
      </c>
      <c r="W287" t="inlineStr">
        <is>
          <t>1991-04-19</t>
        </is>
      </c>
      <c r="X287" t="inlineStr">
        <is>
          <t>1991-04-19</t>
        </is>
      </c>
      <c r="Y287" t="inlineStr">
        <is>
          <t>1987-10-07</t>
        </is>
      </c>
      <c r="Z287" t="inlineStr">
        <is>
          <t>1987-10-07</t>
        </is>
      </c>
      <c r="AA287" t="n">
        <v>148</v>
      </c>
      <c r="AB287" t="n">
        <v>103</v>
      </c>
      <c r="AC287" t="n">
        <v>123</v>
      </c>
      <c r="AD287" t="n">
        <v>1</v>
      </c>
      <c r="AE287" t="n">
        <v>1</v>
      </c>
      <c r="AF287" t="n">
        <v>2</v>
      </c>
      <c r="AG287" t="n">
        <v>2</v>
      </c>
      <c r="AH287" t="n">
        <v>1</v>
      </c>
      <c r="AI287" t="n">
        <v>1</v>
      </c>
      <c r="AJ287" t="n">
        <v>0</v>
      </c>
      <c r="AK287" t="n">
        <v>0</v>
      </c>
      <c r="AL287" t="n">
        <v>2</v>
      </c>
      <c r="AM287" t="n">
        <v>2</v>
      </c>
      <c r="AN287" t="n">
        <v>0</v>
      </c>
      <c r="AO287" t="n">
        <v>0</v>
      </c>
      <c r="AP287" t="n">
        <v>0</v>
      </c>
      <c r="AQ287" t="n">
        <v>0</v>
      </c>
      <c r="AR287" t="inlineStr">
        <is>
          <t>No</t>
        </is>
      </c>
      <c r="AS287" t="inlineStr">
        <is>
          <t>Yes</t>
        </is>
      </c>
      <c r="AT287">
        <f>HYPERLINK("http://catalog.hathitrust.org/Record/000536559","HathiTrust Record")</f>
        <v/>
      </c>
      <c r="AU287">
        <f>HYPERLINK("https://creighton-primo.hosted.exlibrisgroup.com/primo-explore/search?tab=default_tab&amp;search_scope=EVERYTHING&amp;vid=01CRU&amp;lang=en_US&amp;offset=0&amp;query=any,contains,991001181739702656","Catalog Record")</f>
        <v/>
      </c>
      <c r="AV287">
        <f>HYPERLINK("http://www.worldcat.org/oclc/11726582","WorldCat Record")</f>
        <v/>
      </c>
      <c r="AW287" t="inlineStr">
        <is>
          <t>5090472334:eng</t>
        </is>
      </c>
      <c r="AX287" t="inlineStr">
        <is>
          <t>11726582</t>
        </is>
      </c>
      <c r="AY287" t="inlineStr">
        <is>
          <t>991001181739702656</t>
        </is>
      </c>
      <c r="AZ287" t="inlineStr">
        <is>
          <t>991001181739702656</t>
        </is>
      </c>
      <c r="BA287" t="inlineStr">
        <is>
          <t>2255501120002656</t>
        </is>
      </c>
      <c r="BB287" t="inlineStr">
        <is>
          <t>BOOK</t>
        </is>
      </c>
      <c r="BD287" t="inlineStr">
        <is>
          <t>9780387961040</t>
        </is>
      </c>
      <c r="BE287" t="inlineStr">
        <is>
          <t>30001000309155</t>
        </is>
      </c>
      <c r="BF287" t="inlineStr">
        <is>
          <t>893546432</t>
        </is>
      </c>
    </row>
    <row r="288">
      <c r="A288" t="inlineStr">
        <is>
          <t>No</t>
        </is>
      </c>
      <c r="B288" t="inlineStr">
        <is>
          <t>CUHSL</t>
        </is>
      </c>
      <c r="C288" t="inlineStr">
        <is>
          <t>SHELVES</t>
        </is>
      </c>
      <c r="D288" t="inlineStr">
        <is>
          <t>W 26.5 C7383 1985</t>
        </is>
      </c>
      <c r="E288" t="inlineStr">
        <is>
          <t>0                      W  0026500C  7383        1985</t>
        </is>
      </c>
      <c r="F288" t="inlineStr">
        <is>
          <t>Computer-assisted medical decision making / edited by James A. Reggia and Stanley Tuhrim.</t>
        </is>
      </c>
      <c r="G288" t="inlineStr">
        <is>
          <t>V.1</t>
        </is>
      </c>
      <c r="H288" t="inlineStr">
        <is>
          <t>Yes</t>
        </is>
      </c>
      <c r="I288" t="inlineStr">
        <is>
          <t>1</t>
        </is>
      </c>
      <c r="J288" t="inlineStr">
        <is>
          <t>No</t>
        </is>
      </c>
      <c r="K288" t="inlineStr">
        <is>
          <t>No</t>
        </is>
      </c>
      <c r="L288" t="inlineStr">
        <is>
          <t>0</t>
        </is>
      </c>
      <c r="N288" t="inlineStr">
        <is>
          <t>New York : Springer-Verlag, c1985.</t>
        </is>
      </c>
      <c r="O288" t="inlineStr">
        <is>
          <t>1985</t>
        </is>
      </c>
      <c r="Q288" t="inlineStr">
        <is>
          <t>eng</t>
        </is>
      </c>
      <c r="R288" t="inlineStr">
        <is>
          <t>xxu</t>
        </is>
      </c>
      <c r="S288" t="inlineStr">
        <is>
          <t>Computers and medicine</t>
        </is>
      </c>
      <c r="T288" t="inlineStr">
        <is>
          <t xml:space="preserve">W  </t>
        </is>
      </c>
      <c r="U288" t="n">
        <v>1</v>
      </c>
      <c r="V288" t="n">
        <v>2</v>
      </c>
      <c r="W288" t="inlineStr">
        <is>
          <t>1991-04-19</t>
        </is>
      </c>
      <c r="X288" t="inlineStr">
        <is>
          <t>1991-04-19</t>
        </is>
      </c>
      <c r="Y288" t="inlineStr">
        <is>
          <t>1987-10-07</t>
        </is>
      </c>
      <c r="Z288" t="inlineStr">
        <is>
          <t>1987-10-07</t>
        </is>
      </c>
      <c r="AA288" t="n">
        <v>148</v>
      </c>
      <c r="AB288" t="n">
        <v>103</v>
      </c>
      <c r="AC288" t="n">
        <v>123</v>
      </c>
      <c r="AD288" t="n">
        <v>1</v>
      </c>
      <c r="AE288" t="n">
        <v>1</v>
      </c>
      <c r="AF288" t="n">
        <v>2</v>
      </c>
      <c r="AG288" t="n">
        <v>2</v>
      </c>
      <c r="AH288" t="n">
        <v>1</v>
      </c>
      <c r="AI288" t="n">
        <v>1</v>
      </c>
      <c r="AJ288" t="n">
        <v>0</v>
      </c>
      <c r="AK288" t="n">
        <v>0</v>
      </c>
      <c r="AL288" t="n">
        <v>2</v>
      </c>
      <c r="AM288" t="n">
        <v>2</v>
      </c>
      <c r="AN288" t="n">
        <v>0</v>
      </c>
      <c r="AO288" t="n">
        <v>0</v>
      </c>
      <c r="AP288" t="n">
        <v>0</v>
      </c>
      <c r="AQ288" t="n">
        <v>0</v>
      </c>
      <c r="AR288" t="inlineStr">
        <is>
          <t>No</t>
        </is>
      </c>
      <c r="AS288" t="inlineStr">
        <is>
          <t>Yes</t>
        </is>
      </c>
      <c r="AT288">
        <f>HYPERLINK("http://catalog.hathitrust.org/Record/000536559","HathiTrust Record")</f>
        <v/>
      </c>
      <c r="AU288">
        <f>HYPERLINK("https://creighton-primo.hosted.exlibrisgroup.com/primo-explore/search?tab=default_tab&amp;search_scope=EVERYTHING&amp;vid=01CRU&amp;lang=en_US&amp;offset=0&amp;query=any,contains,991001181739702656","Catalog Record")</f>
        <v/>
      </c>
      <c r="AV288">
        <f>HYPERLINK("http://www.worldcat.org/oclc/11726582","WorldCat Record")</f>
        <v/>
      </c>
      <c r="AW288" t="inlineStr">
        <is>
          <t>5090472334:eng</t>
        </is>
      </c>
      <c r="AX288" t="inlineStr">
        <is>
          <t>11726582</t>
        </is>
      </c>
      <c r="AY288" t="inlineStr">
        <is>
          <t>991001181739702656</t>
        </is>
      </c>
      <c r="AZ288" t="inlineStr">
        <is>
          <t>991001181739702656</t>
        </is>
      </c>
      <c r="BA288" t="inlineStr">
        <is>
          <t>2255501120002656</t>
        </is>
      </c>
      <c r="BB288" t="inlineStr">
        <is>
          <t>BOOK</t>
        </is>
      </c>
      <c r="BD288" t="inlineStr">
        <is>
          <t>9780387961040</t>
        </is>
      </c>
      <c r="BE288" t="inlineStr">
        <is>
          <t>30001000309163</t>
        </is>
      </c>
      <c r="BF288" t="inlineStr">
        <is>
          <t>893560899</t>
        </is>
      </c>
    </row>
    <row r="289">
      <c r="A289" t="inlineStr">
        <is>
          <t>No</t>
        </is>
      </c>
      <c r="B289" t="inlineStr">
        <is>
          <t>CUHSL</t>
        </is>
      </c>
      <c r="C289" t="inlineStr">
        <is>
          <t>SHELVES</t>
        </is>
      </c>
      <c r="D289" t="inlineStr">
        <is>
          <t>W 26.5 D319i 1997</t>
        </is>
      </c>
      <c r="E289" t="inlineStr">
        <is>
          <t>0                      W  0026500D  319i        1997</t>
        </is>
      </c>
      <c r="F289" t="inlineStr">
        <is>
          <t>Introduction to clinical informatics / Patrice Degoulet, Marius Fieschi ; translator, Benjamin Phister.</t>
        </is>
      </c>
      <c r="H289" t="inlineStr">
        <is>
          <t>No</t>
        </is>
      </c>
      <c r="I289" t="inlineStr">
        <is>
          <t>1</t>
        </is>
      </c>
      <c r="J289" t="inlineStr">
        <is>
          <t>No</t>
        </is>
      </c>
      <c r="K289" t="inlineStr">
        <is>
          <t>No</t>
        </is>
      </c>
      <c r="L289" t="inlineStr">
        <is>
          <t>0</t>
        </is>
      </c>
      <c r="M289" t="inlineStr">
        <is>
          <t>Degoulet, Patrice.</t>
        </is>
      </c>
      <c r="N289" t="inlineStr">
        <is>
          <t>New York : Springer, c1997.</t>
        </is>
      </c>
      <c r="O289" t="inlineStr">
        <is>
          <t>1997</t>
        </is>
      </c>
      <c r="Q289" t="inlineStr">
        <is>
          <t>eng</t>
        </is>
      </c>
      <c r="R289" t="inlineStr">
        <is>
          <t>nyu</t>
        </is>
      </c>
      <c r="S289" t="inlineStr">
        <is>
          <t>Computers in health care</t>
        </is>
      </c>
      <c r="T289" t="inlineStr">
        <is>
          <t xml:space="preserve">W  </t>
        </is>
      </c>
      <c r="U289" t="n">
        <v>8</v>
      </c>
      <c r="V289" t="n">
        <v>8</v>
      </c>
      <c r="W289" t="inlineStr">
        <is>
          <t>2009-01-07</t>
        </is>
      </c>
      <c r="X289" t="inlineStr">
        <is>
          <t>2009-01-07</t>
        </is>
      </c>
      <c r="Y289" t="inlineStr">
        <is>
          <t>1997-04-29</t>
        </is>
      </c>
      <c r="Z289" t="inlineStr">
        <is>
          <t>1997-04-29</t>
        </is>
      </c>
      <c r="AA289" t="n">
        <v>160</v>
      </c>
      <c r="AB289" t="n">
        <v>114</v>
      </c>
      <c r="AC289" t="n">
        <v>142</v>
      </c>
      <c r="AD289" t="n">
        <v>1</v>
      </c>
      <c r="AE289" t="n">
        <v>1</v>
      </c>
      <c r="AF289" t="n">
        <v>3</v>
      </c>
      <c r="AG289" t="n">
        <v>4</v>
      </c>
      <c r="AH289" t="n">
        <v>0</v>
      </c>
      <c r="AI289" t="n">
        <v>0</v>
      </c>
      <c r="AJ289" t="n">
        <v>3</v>
      </c>
      <c r="AK289" t="n">
        <v>3</v>
      </c>
      <c r="AL289" t="n">
        <v>1</v>
      </c>
      <c r="AM289" t="n">
        <v>2</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HYPERLINK("https://creighton-primo.hosted.exlibrisgroup.com/primo-explore/search?tab=default_tab&amp;search_scope=EVERYTHING&amp;vid=01CRU&amp;lang=en_US&amp;offset=0&amp;query=any,contains,991000840669702656","Catalog Record")</f>
        <v/>
      </c>
      <c r="AV289">
        <f>HYPERLINK("http://www.worldcat.org/oclc/34742277","WorldCat Record")</f>
        <v/>
      </c>
      <c r="AW289" t="inlineStr">
        <is>
          <t>31193662:eng</t>
        </is>
      </c>
      <c r="AX289" t="inlineStr">
        <is>
          <t>34742277</t>
        </is>
      </c>
      <c r="AY289" t="inlineStr">
        <is>
          <t>991000840669702656</t>
        </is>
      </c>
      <c r="AZ289" t="inlineStr">
        <is>
          <t>991000840669702656</t>
        </is>
      </c>
      <c r="BA289" t="inlineStr">
        <is>
          <t>22101747430002656</t>
        </is>
      </c>
      <c r="BB289" t="inlineStr">
        <is>
          <t>BOOK</t>
        </is>
      </c>
      <c r="BD289" t="inlineStr">
        <is>
          <t>9780387946412</t>
        </is>
      </c>
      <c r="BE289" t="inlineStr">
        <is>
          <t>30001003444983</t>
        </is>
      </c>
      <c r="BF289" t="inlineStr">
        <is>
          <t>893632330</t>
        </is>
      </c>
    </row>
    <row r="290">
      <c r="A290" t="inlineStr">
        <is>
          <t>No</t>
        </is>
      </c>
      <c r="B290" t="inlineStr">
        <is>
          <t>CUHSL</t>
        </is>
      </c>
      <c r="C290" t="inlineStr">
        <is>
          <t>SHELVES</t>
        </is>
      </c>
      <c r="D290" t="inlineStr">
        <is>
          <t>W26.5 E57h 2002</t>
        </is>
      </c>
      <c r="E290" t="inlineStr">
        <is>
          <t>0                      W  0026500E  57h         2002</t>
        </is>
      </c>
      <c r="F290" t="inlineStr">
        <is>
          <t>Health care informatics : an interdisciplinary approach / Sheila P. Englebardt, Ramona Nelson.</t>
        </is>
      </c>
      <c r="H290" t="inlineStr">
        <is>
          <t>No</t>
        </is>
      </c>
      <c r="I290" t="inlineStr">
        <is>
          <t>1</t>
        </is>
      </c>
      <c r="J290" t="inlineStr">
        <is>
          <t>No</t>
        </is>
      </c>
      <c r="K290" t="inlineStr">
        <is>
          <t>No</t>
        </is>
      </c>
      <c r="L290" t="inlineStr">
        <is>
          <t>0</t>
        </is>
      </c>
      <c r="M290" t="inlineStr">
        <is>
          <t>Englebardt, Sheila P.</t>
        </is>
      </c>
      <c r="N290" t="inlineStr">
        <is>
          <t>St. Louis : Mosby, c2002.</t>
        </is>
      </c>
      <c r="O290" t="inlineStr">
        <is>
          <t>2002</t>
        </is>
      </c>
      <c r="Q290" t="inlineStr">
        <is>
          <t>eng</t>
        </is>
      </c>
      <c r="R290" t="inlineStr">
        <is>
          <t>mou</t>
        </is>
      </c>
      <c r="T290" t="inlineStr">
        <is>
          <t xml:space="preserve">W  </t>
        </is>
      </c>
      <c r="U290" t="n">
        <v>0</v>
      </c>
      <c r="V290" t="n">
        <v>0</v>
      </c>
      <c r="W290" t="inlineStr">
        <is>
          <t>2005-12-06</t>
        </is>
      </c>
      <c r="X290" t="inlineStr">
        <is>
          <t>2005-12-06</t>
        </is>
      </c>
      <c r="Y290" t="inlineStr">
        <is>
          <t>2005-12-01</t>
        </is>
      </c>
      <c r="Z290" t="inlineStr">
        <is>
          <t>2005-12-01</t>
        </is>
      </c>
      <c r="AA290" t="n">
        <v>147</v>
      </c>
      <c r="AB290" t="n">
        <v>130</v>
      </c>
      <c r="AC290" t="n">
        <v>207</v>
      </c>
      <c r="AD290" t="n">
        <v>1</v>
      </c>
      <c r="AE290" t="n">
        <v>1</v>
      </c>
      <c r="AF290" t="n">
        <v>5</v>
      </c>
      <c r="AG290" t="n">
        <v>6</v>
      </c>
      <c r="AH290" t="n">
        <v>2</v>
      </c>
      <c r="AI290" t="n">
        <v>3</v>
      </c>
      <c r="AJ290" t="n">
        <v>1</v>
      </c>
      <c r="AK290" t="n">
        <v>1</v>
      </c>
      <c r="AL290" t="n">
        <v>2</v>
      </c>
      <c r="AM290" t="n">
        <v>3</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HYPERLINK("https://creighton-primo.hosted.exlibrisgroup.com/primo-explore/search?tab=default_tab&amp;search_scope=EVERYTHING&amp;vid=01CRU&amp;lang=en_US&amp;offset=0&amp;query=any,contains,991000452639702656","Catalog Record")</f>
        <v/>
      </c>
      <c r="AV290">
        <f>HYPERLINK("http://www.worldcat.org/oclc/939390732","WorldCat Record")</f>
        <v/>
      </c>
      <c r="AW290" t="inlineStr">
        <is>
          <t>36974906:eng</t>
        </is>
      </c>
      <c r="AX290" t="inlineStr">
        <is>
          <t>939390732</t>
        </is>
      </c>
      <c r="AY290" t="inlineStr">
        <is>
          <t>991000452639702656</t>
        </is>
      </c>
      <c r="AZ290" t="inlineStr">
        <is>
          <t>991000452639702656</t>
        </is>
      </c>
      <c r="BA290" t="inlineStr">
        <is>
          <t>2268127970002656</t>
        </is>
      </c>
      <c r="BB290" t="inlineStr">
        <is>
          <t>BOOK</t>
        </is>
      </c>
      <c r="BD290" t="inlineStr">
        <is>
          <t>9780323012577</t>
        </is>
      </c>
      <c r="BE290" t="inlineStr">
        <is>
          <t>30001004912277</t>
        </is>
      </c>
      <c r="BF290" t="inlineStr">
        <is>
          <t>893827496</t>
        </is>
      </c>
    </row>
    <row r="291">
      <c r="A291" t="inlineStr">
        <is>
          <t>No</t>
        </is>
      </c>
      <c r="B291" t="inlineStr">
        <is>
          <t>CUHSL</t>
        </is>
      </c>
      <c r="C291" t="inlineStr">
        <is>
          <t>SHELVES</t>
        </is>
      </c>
      <c r="D291" t="inlineStr">
        <is>
          <t>W 26.5 G977d 2005</t>
        </is>
      </c>
      <c r="E291" t="inlineStr">
        <is>
          <t>0                      W  0026500G  977d        2005</t>
        </is>
      </c>
      <c r="F291" t="inlineStr">
        <is>
          <t>Digital health : meeting patient and professional needs online / Barrie Gunter.</t>
        </is>
      </c>
      <c r="H291" t="inlineStr">
        <is>
          <t>No</t>
        </is>
      </c>
      <c r="I291" t="inlineStr">
        <is>
          <t>1</t>
        </is>
      </c>
      <c r="J291" t="inlineStr">
        <is>
          <t>No</t>
        </is>
      </c>
      <c r="K291" t="inlineStr">
        <is>
          <t>No</t>
        </is>
      </c>
      <c r="L291" t="inlineStr">
        <is>
          <t>0</t>
        </is>
      </c>
      <c r="M291" t="inlineStr">
        <is>
          <t>Gunter, Barrie.</t>
        </is>
      </c>
      <c r="N291" t="inlineStr">
        <is>
          <t>Mahwah, N.J. : Lawrence Erlbaum Associates, 2005.</t>
        </is>
      </c>
      <c r="O291" t="inlineStr">
        <is>
          <t>2005</t>
        </is>
      </c>
      <c r="Q291" t="inlineStr">
        <is>
          <t>eng</t>
        </is>
      </c>
      <c r="R291" t="inlineStr">
        <is>
          <t>nju</t>
        </is>
      </c>
      <c r="T291" t="inlineStr">
        <is>
          <t xml:space="preserve">W  </t>
        </is>
      </c>
      <c r="U291" t="n">
        <v>0</v>
      </c>
      <c r="V291" t="n">
        <v>0</v>
      </c>
      <c r="W291" t="inlineStr">
        <is>
          <t>2007-01-29</t>
        </is>
      </c>
      <c r="X291" t="inlineStr">
        <is>
          <t>2007-01-29</t>
        </is>
      </c>
      <c r="Y291" t="inlineStr">
        <is>
          <t>2007-01-17</t>
        </is>
      </c>
      <c r="Z291" t="inlineStr">
        <is>
          <t>2007-01-17</t>
        </is>
      </c>
      <c r="AA291" t="n">
        <v>180</v>
      </c>
      <c r="AB291" t="n">
        <v>115</v>
      </c>
      <c r="AC291" t="n">
        <v>425</v>
      </c>
      <c r="AD291" t="n">
        <v>3</v>
      </c>
      <c r="AE291" t="n">
        <v>19</v>
      </c>
      <c r="AF291" t="n">
        <v>8</v>
      </c>
      <c r="AG291" t="n">
        <v>22</v>
      </c>
      <c r="AH291" t="n">
        <v>2</v>
      </c>
      <c r="AI291" t="n">
        <v>6</v>
      </c>
      <c r="AJ291" t="n">
        <v>2</v>
      </c>
      <c r="AK291" t="n">
        <v>2</v>
      </c>
      <c r="AL291" t="n">
        <v>4</v>
      </c>
      <c r="AM291" t="n">
        <v>6</v>
      </c>
      <c r="AN291" t="n">
        <v>2</v>
      </c>
      <c r="AO291" t="n">
        <v>11</v>
      </c>
      <c r="AP291" t="n">
        <v>0</v>
      </c>
      <c r="AQ291" t="n">
        <v>0</v>
      </c>
      <c r="AR291" t="inlineStr">
        <is>
          <t>No</t>
        </is>
      </c>
      <c r="AS291" t="inlineStr">
        <is>
          <t>No</t>
        </is>
      </c>
      <c r="AU291">
        <f>HYPERLINK("https://creighton-primo.hosted.exlibrisgroup.com/primo-explore/search?tab=default_tab&amp;search_scope=EVERYTHING&amp;vid=01CRU&amp;lang=en_US&amp;offset=0&amp;query=any,contains,991000581829702656","Catalog Record")</f>
        <v/>
      </c>
      <c r="AV291">
        <f>HYPERLINK("http://www.worldcat.org/oclc/56086125","WorldCat Record")</f>
        <v/>
      </c>
      <c r="AW291" t="inlineStr">
        <is>
          <t>800362337:eng</t>
        </is>
      </c>
      <c r="AX291" t="inlineStr">
        <is>
          <t>56086125</t>
        </is>
      </c>
      <c r="AY291" t="inlineStr">
        <is>
          <t>991000581829702656</t>
        </is>
      </c>
      <c r="AZ291" t="inlineStr">
        <is>
          <t>991000581829702656</t>
        </is>
      </c>
      <c r="BA291" t="inlineStr">
        <is>
          <t>2266715480002656</t>
        </is>
      </c>
      <c r="BB291" t="inlineStr">
        <is>
          <t>BOOK</t>
        </is>
      </c>
      <c r="BD291" t="inlineStr">
        <is>
          <t>9780805851793</t>
        </is>
      </c>
      <c r="BE291" t="inlineStr">
        <is>
          <t>30001005174992</t>
        </is>
      </c>
      <c r="BF291" t="inlineStr">
        <is>
          <t>893550496</t>
        </is>
      </c>
    </row>
    <row r="292">
      <c r="A292" t="inlineStr">
        <is>
          <t>No</t>
        </is>
      </c>
      <c r="B292" t="inlineStr">
        <is>
          <t>CUHSL</t>
        </is>
      </c>
      <c r="C292" t="inlineStr">
        <is>
          <t>SHELVES</t>
        </is>
      </c>
      <c r="D292" t="inlineStr">
        <is>
          <t>W 26.5 H4337 2001</t>
        </is>
      </c>
      <c r="E292" t="inlineStr">
        <is>
          <t>0                      W  0026500H  4337        2001</t>
        </is>
      </c>
      <c r="F292" t="inlineStr">
        <is>
          <t>Health information : management of a strategic resource / managing editor, Mervat Abdelhak ; editors, Sara Grostick, Mary Alice Hanken, Ellen Jacobs.</t>
        </is>
      </c>
      <c r="H292" t="inlineStr">
        <is>
          <t>No</t>
        </is>
      </c>
      <c r="I292" t="inlineStr">
        <is>
          <t>1</t>
        </is>
      </c>
      <c r="J292" t="inlineStr">
        <is>
          <t>No</t>
        </is>
      </c>
      <c r="K292" t="inlineStr">
        <is>
          <t>No</t>
        </is>
      </c>
      <c r="L292" t="inlineStr">
        <is>
          <t>0</t>
        </is>
      </c>
      <c r="N292" t="inlineStr">
        <is>
          <t>Philadelphia : W.B. Saunders, c2001.</t>
        </is>
      </c>
      <c r="O292" t="inlineStr">
        <is>
          <t>2001</t>
        </is>
      </c>
      <c r="P292" t="inlineStr">
        <is>
          <t>2nd ed.</t>
        </is>
      </c>
      <c r="Q292" t="inlineStr">
        <is>
          <t>eng</t>
        </is>
      </c>
      <c r="R292" t="inlineStr">
        <is>
          <t>pau</t>
        </is>
      </c>
      <c r="T292" t="inlineStr">
        <is>
          <t xml:space="preserve">W  </t>
        </is>
      </c>
      <c r="U292" t="n">
        <v>18</v>
      </c>
      <c r="V292" t="n">
        <v>18</v>
      </c>
      <c r="W292" t="inlineStr">
        <is>
          <t>2010-06-08</t>
        </is>
      </c>
      <c r="X292" t="inlineStr">
        <is>
          <t>2010-06-08</t>
        </is>
      </c>
      <c r="Y292" t="inlineStr">
        <is>
          <t>2006-04-25</t>
        </is>
      </c>
      <c r="Z292" t="inlineStr">
        <is>
          <t>2006-04-25</t>
        </is>
      </c>
      <c r="AA292" t="n">
        <v>295</v>
      </c>
      <c r="AB292" t="n">
        <v>235</v>
      </c>
      <c r="AC292" t="n">
        <v>569</v>
      </c>
      <c r="AD292" t="n">
        <v>2</v>
      </c>
      <c r="AE292" t="n">
        <v>3</v>
      </c>
      <c r="AF292" t="n">
        <v>7</v>
      </c>
      <c r="AG292" t="n">
        <v>14</v>
      </c>
      <c r="AH292" t="n">
        <v>0</v>
      </c>
      <c r="AI292" t="n">
        <v>4</v>
      </c>
      <c r="AJ292" t="n">
        <v>4</v>
      </c>
      <c r="AK292" t="n">
        <v>5</v>
      </c>
      <c r="AL292" t="n">
        <v>4</v>
      </c>
      <c r="AM292" t="n">
        <v>7</v>
      </c>
      <c r="AN292" t="n">
        <v>1</v>
      </c>
      <c r="AO292" t="n">
        <v>2</v>
      </c>
      <c r="AP292" t="n">
        <v>0</v>
      </c>
      <c r="AQ292" t="n">
        <v>0</v>
      </c>
      <c r="AR292" t="inlineStr">
        <is>
          <t>No</t>
        </is>
      </c>
      <c r="AS292" t="inlineStr">
        <is>
          <t>Yes</t>
        </is>
      </c>
      <c r="AT292">
        <f>HYPERLINK("http://catalog.hathitrust.org/Record/004140930","HathiTrust Record")</f>
        <v/>
      </c>
      <c r="AU292">
        <f>HYPERLINK("https://creighton-primo.hosted.exlibrisgroup.com/primo-explore/search?tab=default_tab&amp;search_scope=EVERYTHING&amp;vid=01CRU&amp;lang=en_US&amp;offset=0&amp;query=any,contains,991000354169702656","Catalog Record")</f>
        <v/>
      </c>
      <c r="AV292">
        <f>HYPERLINK("http://www.worldcat.org/oclc/44794929","WorldCat Record")</f>
        <v/>
      </c>
      <c r="AW292" t="inlineStr">
        <is>
          <t>796401807:eng</t>
        </is>
      </c>
      <c r="AX292" t="inlineStr">
        <is>
          <t>44794929</t>
        </is>
      </c>
      <c r="AY292" t="inlineStr">
        <is>
          <t>991000354169702656</t>
        </is>
      </c>
      <c r="AZ292" t="inlineStr">
        <is>
          <t>991000354169702656</t>
        </is>
      </c>
      <c r="BA292" t="inlineStr">
        <is>
          <t>2264703010002656</t>
        </is>
      </c>
      <c r="BB292" t="inlineStr">
        <is>
          <t>BOOK</t>
        </is>
      </c>
      <c r="BD292" t="inlineStr">
        <is>
          <t>9780721686479</t>
        </is>
      </c>
      <c r="BE292" t="inlineStr">
        <is>
          <t>30001004560514</t>
        </is>
      </c>
      <c r="BF292" t="inlineStr">
        <is>
          <t>893461410</t>
        </is>
      </c>
    </row>
    <row r="293">
      <c r="A293" t="inlineStr">
        <is>
          <t>No</t>
        </is>
      </c>
      <c r="B293" t="inlineStr">
        <is>
          <t>CUHSL</t>
        </is>
      </c>
      <c r="C293" t="inlineStr">
        <is>
          <t>SHELVES</t>
        </is>
      </c>
      <c r="D293" t="inlineStr">
        <is>
          <t>W26.5 I4338 2006</t>
        </is>
      </c>
      <c r="E293" t="inlineStr">
        <is>
          <t>0                      W  0026500I  4338        2006</t>
        </is>
      </c>
      <c r="F293" t="inlineStr">
        <is>
          <t>Information technology solutions for healthcare / Krzysztof Zieliński, Mariusz Duplaga, David Ingram, editors.</t>
        </is>
      </c>
      <c r="H293" t="inlineStr">
        <is>
          <t>No</t>
        </is>
      </c>
      <c r="I293" t="inlineStr">
        <is>
          <t>1</t>
        </is>
      </c>
      <c r="J293" t="inlineStr">
        <is>
          <t>No</t>
        </is>
      </c>
      <c r="K293" t="inlineStr">
        <is>
          <t>No</t>
        </is>
      </c>
      <c r="L293" t="inlineStr">
        <is>
          <t>1</t>
        </is>
      </c>
      <c r="N293" t="inlineStr">
        <is>
          <t>London : Springer, 2006.</t>
        </is>
      </c>
      <c r="O293" t="inlineStr">
        <is>
          <t>2006</t>
        </is>
      </c>
      <c r="Q293" t="inlineStr">
        <is>
          <t>eng</t>
        </is>
      </c>
      <c r="R293" t="inlineStr">
        <is>
          <t>enk</t>
        </is>
      </c>
      <c r="S293" t="inlineStr">
        <is>
          <t>Health informatics</t>
        </is>
      </c>
      <c r="T293" t="inlineStr">
        <is>
          <t xml:space="preserve">W  </t>
        </is>
      </c>
      <c r="U293" t="n">
        <v>2</v>
      </c>
      <c r="V293" t="n">
        <v>2</v>
      </c>
      <c r="W293" t="inlineStr">
        <is>
          <t>2009-01-07</t>
        </is>
      </c>
      <c r="X293" t="inlineStr">
        <is>
          <t>2009-01-07</t>
        </is>
      </c>
      <c r="Y293" t="inlineStr">
        <is>
          <t>2006-09-07</t>
        </is>
      </c>
      <c r="Z293" t="inlineStr">
        <is>
          <t>2006-09-07</t>
        </is>
      </c>
      <c r="AA293" t="n">
        <v>132</v>
      </c>
      <c r="AB293" t="n">
        <v>87</v>
      </c>
      <c r="AC293" t="n">
        <v>333</v>
      </c>
      <c r="AD293" t="n">
        <v>2</v>
      </c>
      <c r="AE293" t="n">
        <v>3</v>
      </c>
      <c r="AF293" t="n">
        <v>2</v>
      </c>
      <c r="AG293" t="n">
        <v>7</v>
      </c>
      <c r="AH293" t="n">
        <v>0</v>
      </c>
      <c r="AI293" t="n">
        <v>3</v>
      </c>
      <c r="AJ293" t="n">
        <v>0</v>
      </c>
      <c r="AK293" t="n">
        <v>1</v>
      </c>
      <c r="AL293" t="n">
        <v>1</v>
      </c>
      <c r="AM293" t="n">
        <v>5</v>
      </c>
      <c r="AN293" t="n">
        <v>1</v>
      </c>
      <c r="AO293" t="n">
        <v>1</v>
      </c>
      <c r="AP293" t="n">
        <v>0</v>
      </c>
      <c r="AQ293" t="n">
        <v>0</v>
      </c>
      <c r="AR293" t="inlineStr">
        <is>
          <t>No</t>
        </is>
      </c>
      <c r="AS293" t="inlineStr">
        <is>
          <t>No</t>
        </is>
      </c>
      <c r="AU293">
        <f>HYPERLINK("https://creighton-primo.hosted.exlibrisgroup.com/primo-explore/search?tab=default_tab&amp;search_scope=EVERYTHING&amp;vid=01CRU&amp;lang=en_US&amp;offset=0&amp;query=any,contains,991000535489702656","Catalog Record")</f>
        <v/>
      </c>
      <c r="AV293">
        <f>HYPERLINK("http://www.worldcat.org/oclc/59878547","WorldCat Record")</f>
        <v/>
      </c>
      <c r="AW293" t="inlineStr">
        <is>
          <t>1039157106:eng</t>
        </is>
      </c>
      <c r="AX293" t="inlineStr">
        <is>
          <t>59878547</t>
        </is>
      </c>
      <c r="AY293" t="inlineStr">
        <is>
          <t>991000535489702656</t>
        </is>
      </c>
      <c r="AZ293" t="inlineStr">
        <is>
          <t>991000535489702656</t>
        </is>
      </c>
      <c r="BA293" t="inlineStr">
        <is>
          <t>2263024610002656</t>
        </is>
      </c>
      <c r="BB293" t="inlineStr">
        <is>
          <t>BOOK</t>
        </is>
      </c>
      <c r="BD293" t="inlineStr">
        <is>
          <t>9781846281419</t>
        </is>
      </c>
      <c r="BE293" t="inlineStr">
        <is>
          <t>30001005127388</t>
        </is>
      </c>
      <c r="BF293" t="inlineStr">
        <is>
          <t>893271282</t>
        </is>
      </c>
    </row>
    <row r="294">
      <c r="A294" t="inlineStr">
        <is>
          <t>No</t>
        </is>
      </c>
      <c r="B294" t="inlineStr">
        <is>
          <t>CUHSL</t>
        </is>
      </c>
      <c r="C294" t="inlineStr">
        <is>
          <t>SHELVES</t>
        </is>
      </c>
      <c r="D294" t="inlineStr">
        <is>
          <t>W26.5 J65i 2002</t>
        </is>
      </c>
      <c r="E294" t="inlineStr">
        <is>
          <t>0                      W  0026500J  65i         2002</t>
        </is>
      </c>
      <c r="F294" t="inlineStr">
        <is>
          <t>Information management for health professions / Merida L. Johns.</t>
        </is>
      </c>
      <c r="H294" t="inlineStr">
        <is>
          <t>No</t>
        </is>
      </c>
      <c r="I294" t="inlineStr">
        <is>
          <t>1</t>
        </is>
      </c>
      <c r="J294" t="inlineStr">
        <is>
          <t>No</t>
        </is>
      </c>
      <c r="K294" t="inlineStr">
        <is>
          <t>No</t>
        </is>
      </c>
      <c r="L294" t="inlineStr">
        <is>
          <t>0</t>
        </is>
      </c>
      <c r="N294" t="inlineStr">
        <is>
          <t>Albany : Delmar Thomson Learning, 2002.</t>
        </is>
      </c>
      <c r="O294" t="inlineStr">
        <is>
          <t>2002</t>
        </is>
      </c>
      <c r="P294" t="inlineStr">
        <is>
          <t>2nd ed.</t>
        </is>
      </c>
      <c r="Q294" t="inlineStr">
        <is>
          <t>eng</t>
        </is>
      </c>
      <c r="R294" t="inlineStr">
        <is>
          <t>nyu</t>
        </is>
      </c>
      <c r="S294" t="inlineStr">
        <is>
          <t>The health information management series</t>
        </is>
      </c>
      <c r="T294" t="inlineStr">
        <is>
          <t xml:space="preserve">W  </t>
        </is>
      </c>
      <c r="U294" t="n">
        <v>2</v>
      </c>
      <c r="V294" t="n">
        <v>2</v>
      </c>
      <c r="W294" t="inlineStr">
        <is>
          <t>2002-12-10</t>
        </is>
      </c>
      <c r="X294" t="inlineStr">
        <is>
          <t>2002-12-10</t>
        </is>
      </c>
      <c r="Y294" t="inlineStr">
        <is>
          <t>2002-10-14</t>
        </is>
      </c>
      <c r="Z294" t="inlineStr">
        <is>
          <t>2002-10-14</t>
        </is>
      </c>
      <c r="AA294" t="n">
        <v>237</v>
      </c>
      <c r="AB294" t="n">
        <v>178</v>
      </c>
      <c r="AC294" t="n">
        <v>684</v>
      </c>
      <c r="AD294" t="n">
        <v>1</v>
      </c>
      <c r="AE294" t="n">
        <v>27</v>
      </c>
      <c r="AF294" t="n">
        <v>1</v>
      </c>
      <c r="AG294" t="n">
        <v>20</v>
      </c>
      <c r="AH294" t="n">
        <v>0</v>
      </c>
      <c r="AI294" t="n">
        <v>2</v>
      </c>
      <c r="AJ294" t="n">
        <v>1</v>
      </c>
      <c r="AK294" t="n">
        <v>4</v>
      </c>
      <c r="AL294" t="n">
        <v>1</v>
      </c>
      <c r="AM294" t="n">
        <v>6</v>
      </c>
      <c r="AN294" t="n">
        <v>0</v>
      </c>
      <c r="AO294" t="n">
        <v>12</v>
      </c>
      <c r="AP294" t="n">
        <v>0</v>
      </c>
      <c r="AQ294" t="n">
        <v>0</v>
      </c>
      <c r="AR294" t="inlineStr">
        <is>
          <t>No</t>
        </is>
      </c>
      <c r="AS294" t="inlineStr">
        <is>
          <t>No</t>
        </is>
      </c>
      <c r="AU294">
        <f>HYPERLINK("https://creighton-primo.hosted.exlibrisgroup.com/primo-explore/search?tab=default_tab&amp;search_scope=EVERYTHING&amp;vid=01CRU&amp;lang=en_US&amp;offset=0&amp;query=any,contains,991000330889702656","Catalog Record")</f>
        <v/>
      </c>
      <c r="AV294">
        <f>HYPERLINK("http://www.worldcat.org/oclc/47181915","WorldCat Record")</f>
        <v/>
      </c>
      <c r="AW294" t="inlineStr">
        <is>
          <t>14467142:eng</t>
        </is>
      </c>
      <c r="AX294" t="inlineStr">
        <is>
          <t>47181915</t>
        </is>
      </c>
      <c r="AY294" t="inlineStr">
        <is>
          <t>991000330889702656</t>
        </is>
      </c>
      <c r="AZ294" t="inlineStr">
        <is>
          <t>991000330889702656</t>
        </is>
      </c>
      <c r="BA294" t="inlineStr">
        <is>
          <t>2270641490002656</t>
        </is>
      </c>
      <c r="BB294" t="inlineStr">
        <is>
          <t>BOOK</t>
        </is>
      </c>
      <c r="BD294" t="inlineStr">
        <is>
          <t>9780766825161</t>
        </is>
      </c>
      <c r="BE294" t="inlineStr">
        <is>
          <t>30001004440436</t>
        </is>
      </c>
      <c r="BF294" t="inlineStr">
        <is>
          <t>893370354</t>
        </is>
      </c>
    </row>
    <row r="295">
      <c r="A295" t="inlineStr">
        <is>
          <t>No</t>
        </is>
      </c>
      <c r="B295" t="inlineStr">
        <is>
          <t>CUHSL</t>
        </is>
      </c>
      <c r="C295" t="inlineStr">
        <is>
          <t>SHELVES</t>
        </is>
      </c>
      <c r="D295" t="inlineStr">
        <is>
          <t>W 26.5 M649e 1986</t>
        </is>
      </c>
      <c r="E295" t="inlineStr">
        <is>
          <t>0                      W  0026500M  649e        1986</t>
        </is>
      </c>
      <c r="F295" t="inlineStr">
        <is>
          <t>Expert critiquing systems : practice-based medical consultation by computer / Perry L. Miller.</t>
        </is>
      </c>
      <c r="H295" t="inlineStr">
        <is>
          <t>No</t>
        </is>
      </c>
      <c r="I295" t="inlineStr">
        <is>
          <t>1</t>
        </is>
      </c>
      <c r="J295" t="inlineStr">
        <is>
          <t>No</t>
        </is>
      </c>
      <c r="K295" t="inlineStr">
        <is>
          <t>No</t>
        </is>
      </c>
      <c r="L295" t="inlineStr">
        <is>
          <t>0</t>
        </is>
      </c>
      <c r="M295" t="inlineStr">
        <is>
          <t>Miller, Perry L.</t>
        </is>
      </c>
      <c r="N295" t="inlineStr">
        <is>
          <t>New York : Springer-Verlag, c1986.</t>
        </is>
      </c>
      <c r="O295" t="inlineStr">
        <is>
          <t>1986</t>
        </is>
      </c>
      <c r="Q295" t="inlineStr">
        <is>
          <t>eng</t>
        </is>
      </c>
      <c r="R295" t="inlineStr">
        <is>
          <t>nyu</t>
        </is>
      </c>
      <c r="S295" t="inlineStr">
        <is>
          <t>Computers and medicine</t>
        </is>
      </c>
      <c r="T295" t="inlineStr">
        <is>
          <t xml:space="preserve">W  </t>
        </is>
      </c>
      <c r="U295" t="n">
        <v>2</v>
      </c>
      <c r="V295" t="n">
        <v>2</v>
      </c>
      <c r="W295" t="inlineStr">
        <is>
          <t>1999-03-02</t>
        </is>
      </c>
      <c r="X295" t="inlineStr">
        <is>
          <t>1999-03-02</t>
        </is>
      </c>
      <c r="Y295" t="inlineStr">
        <is>
          <t>1987-10-01</t>
        </is>
      </c>
      <c r="Z295" t="inlineStr">
        <is>
          <t>1987-10-01</t>
        </is>
      </c>
      <c r="AA295" t="n">
        <v>134</v>
      </c>
      <c r="AB295" t="n">
        <v>78</v>
      </c>
      <c r="AC295" t="n">
        <v>99</v>
      </c>
      <c r="AD295" t="n">
        <v>1</v>
      </c>
      <c r="AE295" t="n">
        <v>1</v>
      </c>
      <c r="AF295" t="n">
        <v>2</v>
      </c>
      <c r="AG295" t="n">
        <v>2</v>
      </c>
      <c r="AH295" t="n">
        <v>0</v>
      </c>
      <c r="AI295" t="n">
        <v>0</v>
      </c>
      <c r="AJ295" t="n">
        <v>0</v>
      </c>
      <c r="AK295" t="n">
        <v>0</v>
      </c>
      <c r="AL295" t="n">
        <v>2</v>
      </c>
      <c r="AM295" t="n">
        <v>2</v>
      </c>
      <c r="AN295" t="n">
        <v>0</v>
      </c>
      <c r="AO295" t="n">
        <v>0</v>
      </c>
      <c r="AP295" t="n">
        <v>0</v>
      </c>
      <c r="AQ295" t="n">
        <v>0</v>
      </c>
      <c r="AR295" t="inlineStr">
        <is>
          <t>No</t>
        </is>
      </c>
      <c r="AS295" t="inlineStr">
        <is>
          <t>Yes</t>
        </is>
      </c>
      <c r="AT295">
        <f>HYPERLINK("http://catalog.hathitrust.org/Record/000481965","HathiTrust Record")</f>
        <v/>
      </c>
      <c r="AU295">
        <f>HYPERLINK("https://creighton-primo.hosted.exlibrisgroup.com/primo-explore/search?tab=default_tab&amp;search_scope=EVERYTHING&amp;vid=01CRU&amp;lang=en_US&amp;offset=0&amp;query=any,contains,991001181199702656","Catalog Record")</f>
        <v/>
      </c>
      <c r="AV295">
        <f>HYPERLINK("http://www.worldcat.org/oclc/13062257","WorldCat Record")</f>
        <v/>
      </c>
      <c r="AW295" t="inlineStr">
        <is>
          <t>793835529:eng</t>
        </is>
      </c>
      <c r="AX295" t="inlineStr">
        <is>
          <t>13062257</t>
        </is>
      </c>
      <c r="AY295" t="inlineStr">
        <is>
          <t>991001181199702656</t>
        </is>
      </c>
      <c r="AZ295" t="inlineStr">
        <is>
          <t>991001181199702656</t>
        </is>
      </c>
      <c r="BA295" t="inlineStr">
        <is>
          <t>2256557850002656</t>
        </is>
      </c>
      <c r="BB295" t="inlineStr">
        <is>
          <t>BOOK</t>
        </is>
      </c>
      <c r="BD295" t="inlineStr">
        <is>
          <t>9780387962917</t>
        </is>
      </c>
      <c r="BE295" t="inlineStr">
        <is>
          <t>30001000309064</t>
        </is>
      </c>
      <c r="BF295" t="inlineStr">
        <is>
          <t>893740849</t>
        </is>
      </c>
    </row>
    <row r="296">
      <c r="A296" t="inlineStr">
        <is>
          <t>No</t>
        </is>
      </c>
      <c r="B296" t="inlineStr">
        <is>
          <t>CUHSL</t>
        </is>
      </c>
      <c r="C296" t="inlineStr">
        <is>
          <t>SHELVES</t>
        </is>
      </c>
      <c r="D296" t="inlineStr">
        <is>
          <t>W 26.5 S898 1999</t>
        </is>
      </c>
      <c r="E296" t="inlineStr">
        <is>
          <t>0                      W  0026500S  898         1999</t>
        </is>
      </c>
      <c r="F296" t="inlineStr">
        <is>
          <t>Strategies and technologies for healthcare information : theory into practice / Marion J. Ball, Judith V. Douglas, David E. Garets, editors ; with a foreword by Larry D. Grandia.</t>
        </is>
      </c>
      <c r="H296" t="inlineStr">
        <is>
          <t>No</t>
        </is>
      </c>
      <c r="I296" t="inlineStr">
        <is>
          <t>1</t>
        </is>
      </c>
      <c r="J296" t="inlineStr">
        <is>
          <t>No</t>
        </is>
      </c>
      <c r="K296" t="inlineStr">
        <is>
          <t>No</t>
        </is>
      </c>
      <c r="L296" t="inlineStr">
        <is>
          <t>0</t>
        </is>
      </c>
      <c r="N296" t="inlineStr">
        <is>
          <t>New York : Springer, c1999.</t>
        </is>
      </c>
      <c r="O296" t="inlineStr">
        <is>
          <t>1999</t>
        </is>
      </c>
      <c r="Q296" t="inlineStr">
        <is>
          <t>eng</t>
        </is>
      </c>
      <c r="R296" t="inlineStr">
        <is>
          <t>nyu</t>
        </is>
      </c>
      <c r="S296" t="inlineStr">
        <is>
          <t>Health informatics</t>
        </is>
      </c>
      <c r="T296" t="inlineStr">
        <is>
          <t xml:space="preserve">W  </t>
        </is>
      </c>
      <c r="U296" t="n">
        <v>8</v>
      </c>
      <c r="V296" t="n">
        <v>8</v>
      </c>
      <c r="W296" t="inlineStr">
        <is>
          <t>2006-02-06</t>
        </is>
      </c>
      <c r="X296" t="inlineStr">
        <is>
          <t>2006-02-06</t>
        </is>
      </c>
      <c r="Y296" t="inlineStr">
        <is>
          <t>1999-09-14</t>
        </is>
      </c>
      <c r="Z296" t="inlineStr">
        <is>
          <t>1999-09-14</t>
        </is>
      </c>
      <c r="AA296" t="n">
        <v>188</v>
      </c>
      <c r="AB296" t="n">
        <v>146</v>
      </c>
      <c r="AC296" t="n">
        <v>172</v>
      </c>
      <c r="AD296" t="n">
        <v>2</v>
      </c>
      <c r="AE296" t="n">
        <v>2</v>
      </c>
      <c r="AF296" t="n">
        <v>4</v>
      </c>
      <c r="AG296" t="n">
        <v>5</v>
      </c>
      <c r="AH296" t="n">
        <v>0</v>
      </c>
      <c r="AI296" t="n">
        <v>0</v>
      </c>
      <c r="AJ296" t="n">
        <v>2</v>
      </c>
      <c r="AK296" t="n">
        <v>2</v>
      </c>
      <c r="AL296" t="n">
        <v>2</v>
      </c>
      <c r="AM296" t="n">
        <v>3</v>
      </c>
      <c r="AN296" t="n">
        <v>1</v>
      </c>
      <c r="AO296" t="n">
        <v>1</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HYPERLINK("https://creighton-primo.hosted.exlibrisgroup.com/primo-explore/search?tab=default_tab&amp;search_scope=EVERYTHING&amp;vid=01CRU&amp;lang=en_US&amp;offset=0&amp;query=any,contains,991000595489702656","Catalog Record")</f>
        <v/>
      </c>
      <c r="AV296">
        <f>HYPERLINK("http://www.worldcat.org/oclc/39516100","WorldCat Record")</f>
        <v/>
      </c>
      <c r="AW296" t="inlineStr">
        <is>
          <t>898145066:eng</t>
        </is>
      </c>
      <c r="AX296" t="inlineStr">
        <is>
          <t>39516100</t>
        </is>
      </c>
      <c r="AY296" t="inlineStr">
        <is>
          <t>991000595489702656</t>
        </is>
      </c>
      <c r="AZ296" t="inlineStr">
        <is>
          <t>991000595489702656</t>
        </is>
      </c>
      <c r="BA296" t="inlineStr">
        <is>
          <t>2260376420002656</t>
        </is>
      </c>
      <c r="BB296" t="inlineStr">
        <is>
          <t>BOOK</t>
        </is>
      </c>
      <c r="BD296" t="inlineStr">
        <is>
          <t>9780387984421</t>
        </is>
      </c>
      <c r="BE296" t="inlineStr">
        <is>
          <t>30001004014868</t>
        </is>
      </c>
      <c r="BF296" t="inlineStr">
        <is>
          <t>893159873</t>
        </is>
      </c>
    </row>
    <row r="297">
      <c r="A297" t="inlineStr">
        <is>
          <t>No</t>
        </is>
      </c>
      <c r="B297" t="inlineStr">
        <is>
          <t>CUHSL</t>
        </is>
      </c>
      <c r="C297" t="inlineStr">
        <is>
          <t>SHELVES</t>
        </is>
      </c>
      <c r="D297" t="inlineStr">
        <is>
          <t>W 26.5 W9265k 1989</t>
        </is>
      </c>
      <c r="E297" t="inlineStr">
        <is>
          <t>0                      W  0026500W  9265k       1989</t>
        </is>
      </c>
      <c r="F297" t="inlineStr">
        <is>
          <t>Knowledge based systems in medicine : methods, applications, and evaluation : proceedings of the Workshop "System Engineering in Medicine," Maastricht March 16-18, 1989 / organized by the Department of Medical Informatics, University of Limburg, Maastricht, the Netherlands ; sponsored by Commission of the European Communities under the Medical and Health Research Programme ; Jan L. Talmon, John Fox (eds.).</t>
        </is>
      </c>
      <c r="H297" t="inlineStr">
        <is>
          <t>No</t>
        </is>
      </c>
      <c r="I297" t="inlineStr">
        <is>
          <t>1</t>
        </is>
      </c>
      <c r="J297" t="inlineStr">
        <is>
          <t>No</t>
        </is>
      </c>
      <c r="K297" t="inlineStr">
        <is>
          <t>No</t>
        </is>
      </c>
      <c r="L297" t="inlineStr">
        <is>
          <t>0</t>
        </is>
      </c>
      <c r="M297" t="inlineStr">
        <is>
          <t>Workshop "System Engineering in Medicine" (1989 : Maastricht, Netherlands)</t>
        </is>
      </c>
      <c r="N297" t="inlineStr">
        <is>
          <t>Berlin ; New York : Springer-Verlag, c1991.</t>
        </is>
      </c>
      <c r="O297" t="inlineStr">
        <is>
          <t>1991</t>
        </is>
      </c>
      <c r="Q297" t="inlineStr">
        <is>
          <t>eng</t>
        </is>
      </c>
      <c r="R297" t="inlineStr">
        <is>
          <t xml:space="preserve">gw </t>
        </is>
      </c>
      <c r="S297" t="inlineStr">
        <is>
          <t>Lecture notes in medical informatics ; 47</t>
        </is>
      </c>
      <c r="T297" t="inlineStr">
        <is>
          <t xml:space="preserve">W  </t>
        </is>
      </c>
      <c r="U297" t="n">
        <v>6</v>
      </c>
      <c r="V297" t="n">
        <v>6</v>
      </c>
      <c r="W297" t="inlineStr">
        <is>
          <t>1993-02-10</t>
        </is>
      </c>
      <c r="X297" t="inlineStr">
        <is>
          <t>1993-02-10</t>
        </is>
      </c>
      <c r="Y297" t="inlineStr">
        <is>
          <t>1992-03-10</t>
        </is>
      </c>
      <c r="Z297" t="inlineStr">
        <is>
          <t>1992-03-10</t>
        </is>
      </c>
      <c r="AA297" t="n">
        <v>61</v>
      </c>
      <c r="AB297" t="n">
        <v>39</v>
      </c>
      <c r="AC297" t="n">
        <v>60</v>
      </c>
      <c r="AD297" t="n">
        <v>1</v>
      </c>
      <c r="AE297" t="n">
        <v>1</v>
      </c>
      <c r="AF297" t="n">
        <v>0</v>
      </c>
      <c r="AG297" t="n">
        <v>0</v>
      </c>
      <c r="AH297" t="n">
        <v>0</v>
      </c>
      <c r="AI297" t="n">
        <v>0</v>
      </c>
      <c r="AJ297" t="n">
        <v>0</v>
      </c>
      <c r="AK297" t="n">
        <v>0</v>
      </c>
      <c r="AL297" t="n">
        <v>0</v>
      </c>
      <c r="AM297" t="n">
        <v>0</v>
      </c>
      <c r="AN297" t="n">
        <v>0</v>
      </c>
      <c r="AO297" t="n">
        <v>0</v>
      </c>
      <c r="AP297" t="n">
        <v>0</v>
      </c>
      <c r="AQ297" t="n">
        <v>0</v>
      </c>
      <c r="AR297" t="inlineStr">
        <is>
          <t>No</t>
        </is>
      </c>
      <c r="AS297" t="inlineStr">
        <is>
          <t>Yes</t>
        </is>
      </c>
      <c r="AT297">
        <f>HYPERLINK("http://catalog.hathitrust.org/Record/002543642","HathiTrust Record")</f>
        <v/>
      </c>
      <c r="AU297">
        <f>HYPERLINK("https://creighton-primo.hosted.exlibrisgroup.com/primo-explore/search?tab=default_tab&amp;search_scope=EVERYTHING&amp;vid=01CRU&amp;lang=en_US&amp;offset=0&amp;query=any,contains,991001298359702656","Catalog Record")</f>
        <v/>
      </c>
      <c r="AV297">
        <f>HYPERLINK("http://www.worldcat.org/oclc/24848011","WorldCat Record")</f>
        <v/>
      </c>
      <c r="AW297" t="inlineStr">
        <is>
          <t>43075848:eng</t>
        </is>
      </c>
      <c r="AX297" t="inlineStr">
        <is>
          <t>24848011</t>
        </is>
      </c>
      <c r="AY297" t="inlineStr">
        <is>
          <t>991001298359702656</t>
        </is>
      </c>
      <c r="AZ297" t="inlineStr">
        <is>
          <t>991001298359702656</t>
        </is>
      </c>
      <c r="BA297" t="inlineStr">
        <is>
          <t>2267383470002656</t>
        </is>
      </c>
      <c r="BB297" t="inlineStr">
        <is>
          <t>BOOK</t>
        </is>
      </c>
      <c r="BD297" t="inlineStr">
        <is>
          <t>9783540550112</t>
        </is>
      </c>
      <c r="BE297" t="inlineStr">
        <is>
          <t>30001002410654</t>
        </is>
      </c>
      <c r="BF297" t="inlineStr">
        <is>
          <t>893557805</t>
        </is>
      </c>
    </row>
    <row r="298">
      <c r="A298" t="inlineStr">
        <is>
          <t>No</t>
        </is>
      </c>
      <c r="B298" t="inlineStr">
        <is>
          <t>CUHSL</t>
        </is>
      </c>
      <c r="C298" t="inlineStr">
        <is>
          <t>SHELVES</t>
        </is>
      </c>
      <c r="D298" t="inlineStr">
        <is>
          <t>W 26.55.A7 E92 1997</t>
        </is>
      </c>
      <c r="E298" t="inlineStr">
        <is>
          <t>0                      W  0026550A  7                  E  92          1997</t>
        </is>
      </c>
      <c r="F298" t="inlineStr">
        <is>
          <t>Evaluation methods in medical informatics / Charles P. Friedman, Jeremy C. Wyatt ; foreword by Edward H. Shortliffe.</t>
        </is>
      </c>
      <c r="H298" t="inlineStr">
        <is>
          <t>No</t>
        </is>
      </c>
      <c r="I298" t="inlineStr">
        <is>
          <t>1</t>
        </is>
      </c>
      <c r="J298" t="inlineStr">
        <is>
          <t>No</t>
        </is>
      </c>
      <c r="K298" t="inlineStr">
        <is>
          <t>No</t>
        </is>
      </c>
      <c r="L298" t="inlineStr">
        <is>
          <t>1</t>
        </is>
      </c>
      <c r="M298" t="inlineStr">
        <is>
          <t>Friedman, Charles P.</t>
        </is>
      </c>
      <c r="N298" t="inlineStr">
        <is>
          <t>New York : Springer, c1997.</t>
        </is>
      </c>
      <c r="O298" t="inlineStr">
        <is>
          <t>1997</t>
        </is>
      </c>
      <c r="Q298" t="inlineStr">
        <is>
          <t>eng</t>
        </is>
      </c>
      <c r="R298" t="inlineStr">
        <is>
          <t>nyu</t>
        </is>
      </c>
      <c r="S298" t="inlineStr">
        <is>
          <t>Computers and medicine</t>
        </is>
      </c>
      <c r="T298" t="inlineStr">
        <is>
          <t xml:space="preserve">W  </t>
        </is>
      </c>
      <c r="U298" t="n">
        <v>10</v>
      </c>
      <c r="V298" t="n">
        <v>10</v>
      </c>
      <c r="W298" t="inlineStr">
        <is>
          <t>1999-11-01</t>
        </is>
      </c>
      <c r="X298" t="inlineStr">
        <is>
          <t>1999-11-01</t>
        </is>
      </c>
      <c r="Y298" t="inlineStr">
        <is>
          <t>1997-04-29</t>
        </is>
      </c>
      <c r="Z298" t="inlineStr">
        <is>
          <t>1997-04-29</t>
        </is>
      </c>
      <c r="AA298" t="n">
        <v>210</v>
      </c>
      <c r="AB298" t="n">
        <v>140</v>
      </c>
      <c r="AC298" t="n">
        <v>669</v>
      </c>
      <c r="AD298" t="n">
        <v>1</v>
      </c>
      <c r="AE298" t="n">
        <v>18</v>
      </c>
      <c r="AF298" t="n">
        <v>4</v>
      </c>
      <c r="AG298" t="n">
        <v>23</v>
      </c>
      <c r="AH298" t="n">
        <v>1</v>
      </c>
      <c r="AI298" t="n">
        <v>6</v>
      </c>
      <c r="AJ298" t="n">
        <v>3</v>
      </c>
      <c r="AK298" t="n">
        <v>5</v>
      </c>
      <c r="AL298" t="n">
        <v>2</v>
      </c>
      <c r="AM298" t="n">
        <v>7</v>
      </c>
      <c r="AN298" t="n">
        <v>0</v>
      </c>
      <c r="AO298" t="n">
        <v>9</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HYPERLINK("https://creighton-primo.hosted.exlibrisgroup.com/primo-explore/search?tab=default_tab&amp;search_scope=EVERYTHING&amp;vid=01CRU&amp;lang=en_US&amp;offset=0&amp;query=any,contains,991000840639702656","Catalog Record")</f>
        <v/>
      </c>
      <c r="AV298">
        <f>HYPERLINK("http://www.worldcat.org/oclc/34633743","WorldCat Record")</f>
        <v/>
      </c>
      <c r="AW298" t="inlineStr">
        <is>
          <t>40523380:eng</t>
        </is>
      </c>
      <c r="AX298" t="inlineStr">
        <is>
          <t>34633743</t>
        </is>
      </c>
      <c r="AY298" t="inlineStr">
        <is>
          <t>991000840639702656</t>
        </is>
      </c>
      <c r="AZ298" t="inlineStr">
        <is>
          <t>991000840639702656</t>
        </is>
      </c>
      <c r="BA298" t="inlineStr">
        <is>
          <t>2272135720002656</t>
        </is>
      </c>
      <c r="BB298" t="inlineStr">
        <is>
          <t>BOOK</t>
        </is>
      </c>
      <c r="BD298" t="inlineStr">
        <is>
          <t>9780387942285</t>
        </is>
      </c>
      <c r="BE298" t="inlineStr">
        <is>
          <t>30001003444975</t>
        </is>
      </c>
      <c r="BF298" t="inlineStr">
        <is>
          <t>893546107</t>
        </is>
      </c>
    </row>
    <row r="299">
      <c r="A299" t="inlineStr">
        <is>
          <t>No</t>
        </is>
      </c>
      <c r="B299" t="inlineStr">
        <is>
          <t>CUHSL</t>
        </is>
      </c>
      <c r="C299" t="inlineStr">
        <is>
          <t>SHELVES</t>
        </is>
      </c>
      <c r="D299" t="inlineStr">
        <is>
          <t>W 26.55.A9 L673y 1998</t>
        </is>
      </c>
      <c r="E299" t="inlineStr">
        <is>
          <t>0                      W  0026550A  9                  L  673y        1998</t>
        </is>
      </c>
      <c r="F299" t="inlineStr">
        <is>
          <t>The year 2000 health care survival guide : strategies and solutions for executives / Audie G. Lewis and Victoria S. Weingart.</t>
        </is>
      </c>
      <c r="H299" t="inlineStr">
        <is>
          <t>No</t>
        </is>
      </c>
      <c r="I299" t="inlineStr">
        <is>
          <t>1</t>
        </is>
      </c>
      <c r="J299" t="inlineStr">
        <is>
          <t>No</t>
        </is>
      </c>
      <c r="K299" t="inlineStr">
        <is>
          <t>No</t>
        </is>
      </c>
      <c r="L299" t="inlineStr">
        <is>
          <t>0</t>
        </is>
      </c>
      <c r="M299" t="inlineStr">
        <is>
          <t>Lewis, Audie G.</t>
        </is>
      </c>
      <c r="N299" t="inlineStr">
        <is>
          <t>Chicago : AHA Press, c1998.</t>
        </is>
      </c>
      <c r="O299" t="inlineStr">
        <is>
          <t>1998</t>
        </is>
      </c>
      <c r="Q299" t="inlineStr">
        <is>
          <t>eng</t>
        </is>
      </c>
      <c r="R299" t="inlineStr">
        <is>
          <t>ilu</t>
        </is>
      </c>
      <c r="T299" t="inlineStr">
        <is>
          <t xml:space="preserve">W  </t>
        </is>
      </c>
      <c r="U299" t="n">
        <v>0</v>
      </c>
      <c r="V299" t="n">
        <v>0</v>
      </c>
      <c r="W299" t="inlineStr">
        <is>
          <t>2004-09-24</t>
        </is>
      </c>
      <c r="X299" t="inlineStr">
        <is>
          <t>2004-09-24</t>
        </is>
      </c>
      <c r="Y299" t="inlineStr">
        <is>
          <t>2004-09-24</t>
        </is>
      </c>
      <c r="Z299" t="inlineStr">
        <is>
          <t>2004-09-24</t>
        </is>
      </c>
      <c r="AA299" t="n">
        <v>45</v>
      </c>
      <c r="AB299" t="n">
        <v>44</v>
      </c>
      <c r="AC299" t="n">
        <v>46</v>
      </c>
      <c r="AD299" t="n">
        <v>1</v>
      </c>
      <c r="AE299" t="n">
        <v>1</v>
      </c>
      <c r="AF299" t="n">
        <v>1</v>
      </c>
      <c r="AG299" t="n">
        <v>1</v>
      </c>
      <c r="AH299" t="n">
        <v>0</v>
      </c>
      <c r="AI299" t="n">
        <v>0</v>
      </c>
      <c r="AJ299" t="n">
        <v>0</v>
      </c>
      <c r="AK299" t="n">
        <v>0</v>
      </c>
      <c r="AL299" t="n">
        <v>1</v>
      </c>
      <c r="AM299" t="n">
        <v>1</v>
      </c>
      <c r="AN299" t="n">
        <v>0</v>
      </c>
      <c r="AO299" t="n">
        <v>0</v>
      </c>
      <c r="AP299" t="n">
        <v>0</v>
      </c>
      <c r="AQ299" t="n">
        <v>0</v>
      </c>
      <c r="AR299" t="inlineStr">
        <is>
          <t>No</t>
        </is>
      </c>
      <c r="AS299" t="inlineStr">
        <is>
          <t>Yes</t>
        </is>
      </c>
      <c r="AT299">
        <f>HYPERLINK("http://catalog.hathitrust.org/Record/004000126","HathiTrust Record")</f>
        <v/>
      </c>
      <c r="AU299">
        <f>HYPERLINK("https://creighton-primo.hosted.exlibrisgroup.com/primo-explore/search?tab=default_tab&amp;search_scope=EVERYTHING&amp;vid=01CRU&amp;lang=en_US&amp;offset=0&amp;query=any,contains,991000396249702656","Catalog Record")</f>
        <v/>
      </c>
      <c r="AV299">
        <f>HYPERLINK("http://www.worldcat.org/oclc/39606477","WorldCat Record")</f>
        <v/>
      </c>
      <c r="AW299" t="inlineStr">
        <is>
          <t>41488583:eng</t>
        </is>
      </c>
      <c r="AX299" t="inlineStr">
        <is>
          <t>39606477</t>
        </is>
      </c>
      <c r="AY299" t="inlineStr">
        <is>
          <t>991000396249702656</t>
        </is>
      </c>
      <c r="AZ299" t="inlineStr">
        <is>
          <t>991000396249702656</t>
        </is>
      </c>
      <c r="BA299" t="inlineStr">
        <is>
          <t>2259914440002656</t>
        </is>
      </c>
      <c r="BB299" t="inlineStr">
        <is>
          <t>BOOK</t>
        </is>
      </c>
      <c r="BD299" t="inlineStr">
        <is>
          <t>9781556482540</t>
        </is>
      </c>
      <c r="BE299" t="inlineStr">
        <is>
          <t>30001004978716</t>
        </is>
      </c>
      <c r="BF299" t="inlineStr">
        <is>
          <t>893832793</t>
        </is>
      </c>
    </row>
    <row r="300">
      <c r="A300" t="inlineStr">
        <is>
          <t>No</t>
        </is>
      </c>
      <c r="B300" t="inlineStr">
        <is>
          <t>CUHSL</t>
        </is>
      </c>
      <c r="C300" t="inlineStr">
        <is>
          <t>SHELVES</t>
        </is>
      </c>
      <c r="D300" t="inlineStr">
        <is>
          <t>W 27 AA1 I61 2000</t>
        </is>
      </c>
      <c r="E300" t="inlineStr">
        <is>
          <t>0                      W  0027000AA 1                  I  61          2000</t>
        </is>
      </c>
      <c r="F300" t="inlineStr">
        <is>
          <t>Into the 21st century : academic health centers as knowledge leaders / The Blue Ridge Academic Health Group.</t>
        </is>
      </c>
      <c r="H300" t="inlineStr">
        <is>
          <t>No</t>
        </is>
      </c>
      <c r="I300" t="inlineStr">
        <is>
          <t>1</t>
        </is>
      </c>
      <c r="J300" t="inlineStr">
        <is>
          <t>No</t>
        </is>
      </c>
      <c r="K300" t="inlineStr">
        <is>
          <t>No</t>
        </is>
      </c>
      <c r="L300" t="inlineStr">
        <is>
          <t>0</t>
        </is>
      </c>
      <c r="N300" t="inlineStr">
        <is>
          <t>Charlottesville, VA : University of Virginia Health System, c2000.</t>
        </is>
      </c>
      <c r="O300" t="inlineStr">
        <is>
          <t>2000</t>
        </is>
      </c>
      <c r="Q300" t="inlineStr">
        <is>
          <t>eng</t>
        </is>
      </c>
      <c r="R300" t="inlineStr">
        <is>
          <t>vau</t>
        </is>
      </c>
      <c r="S300" t="inlineStr">
        <is>
          <t>Report ; 3</t>
        </is>
      </c>
      <c r="T300" t="inlineStr">
        <is>
          <t xml:space="preserve">W  </t>
        </is>
      </c>
      <c r="U300" t="n">
        <v>2</v>
      </c>
      <c r="V300" t="n">
        <v>2</v>
      </c>
      <c r="W300" t="inlineStr">
        <is>
          <t>2005-12-21</t>
        </is>
      </c>
      <c r="X300" t="inlineStr">
        <is>
          <t>2005-12-21</t>
        </is>
      </c>
      <c r="Y300" t="inlineStr">
        <is>
          <t>2002-01-08</t>
        </is>
      </c>
      <c r="Z300" t="inlineStr">
        <is>
          <t>2002-01-08</t>
        </is>
      </c>
      <c r="AA300" t="n">
        <v>17</v>
      </c>
      <c r="AB300" t="n">
        <v>15</v>
      </c>
      <c r="AC300" t="n">
        <v>15</v>
      </c>
      <c r="AD300" t="n">
        <v>1</v>
      </c>
      <c r="AE300" t="n">
        <v>1</v>
      </c>
      <c r="AF300" t="n">
        <v>0</v>
      </c>
      <c r="AG300" t="n">
        <v>0</v>
      </c>
      <c r="AH300" t="n">
        <v>0</v>
      </c>
      <c r="AI300" t="n">
        <v>0</v>
      </c>
      <c r="AJ300" t="n">
        <v>0</v>
      </c>
      <c r="AK300" t="n">
        <v>0</v>
      </c>
      <c r="AL300" t="n">
        <v>0</v>
      </c>
      <c r="AM300" t="n">
        <v>0</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HYPERLINK("https://creighton-primo.hosted.exlibrisgroup.com/primo-explore/search?tab=default_tab&amp;search_scope=EVERYTHING&amp;vid=01CRU&amp;lang=en_US&amp;offset=0&amp;query=any,contains,991000300469702656","Catalog Record")</f>
        <v/>
      </c>
      <c r="AV300">
        <f>HYPERLINK("http://www.worldcat.org/oclc/47989210","WorldCat Record")</f>
        <v/>
      </c>
      <c r="AW300" t="inlineStr">
        <is>
          <t>37572463:eng</t>
        </is>
      </c>
      <c r="AX300" t="inlineStr">
        <is>
          <t>47989210</t>
        </is>
      </c>
      <c r="AY300" t="inlineStr">
        <is>
          <t>991000300469702656</t>
        </is>
      </c>
      <c r="AZ300" t="inlineStr">
        <is>
          <t>991000300469702656</t>
        </is>
      </c>
      <c r="BA300" t="inlineStr">
        <is>
          <t>2264640550002656</t>
        </is>
      </c>
      <c r="BB300" t="inlineStr">
        <is>
          <t>BOOK</t>
        </is>
      </c>
      <c r="BE300" t="inlineStr">
        <is>
          <t>30001004564169</t>
        </is>
      </c>
      <c r="BF300" t="inlineStr">
        <is>
          <t>893108689</t>
        </is>
      </c>
    </row>
    <row r="301">
      <c r="A301" t="inlineStr">
        <is>
          <t>No</t>
        </is>
      </c>
      <c r="B301" t="inlineStr">
        <is>
          <t>CUHSL</t>
        </is>
      </c>
      <c r="C301" t="inlineStr">
        <is>
          <t>SHELVES</t>
        </is>
      </c>
      <c r="D301" t="inlineStr">
        <is>
          <t>W 32 AN1 ST344 1997</t>
        </is>
      </c>
      <c r="E301" t="inlineStr">
        <is>
          <t>0                      W  0032000AN 1                  ST 344         1997</t>
        </is>
      </c>
      <c r="F301" t="inlineStr">
        <is>
          <t>1997 State of Nebraska statutes relating to medicine and surgery osteopathic medicine and surgery physician assistants/ Nebraska Health and Human Services System.</t>
        </is>
      </c>
      <c r="H301" t="inlineStr">
        <is>
          <t>No</t>
        </is>
      </c>
      <c r="I301" t="inlineStr">
        <is>
          <t>1</t>
        </is>
      </c>
      <c r="J301" t="inlineStr">
        <is>
          <t>No</t>
        </is>
      </c>
      <c r="K301" t="inlineStr">
        <is>
          <t>No</t>
        </is>
      </c>
      <c r="L301" t="inlineStr">
        <is>
          <t>0</t>
        </is>
      </c>
      <c r="N301" t="inlineStr">
        <is>
          <t>Lincoln, NE : The Division, 1997.</t>
        </is>
      </c>
      <c r="O301" t="inlineStr">
        <is>
          <t>1997</t>
        </is>
      </c>
      <c r="Q301" t="inlineStr">
        <is>
          <t>eng</t>
        </is>
      </c>
      <c r="R301" t="inlineStr">
        <is>
          <t>nbu</t>
        </is>
      </c>
      <c r="T301" t="inlineStr">
        <is>
          <t xml:space="preserve">W  </t>
        </is>
      </c>
      <c r="U301" t="n">
        <v>0</v>
      </c>
      <c r="V301" t="n">
        <v>0</v>
      </c>
      <c r="W301" t="inlineStr">
        <is>
          <t>2003-02-04</t>
        </is>
      </c>
      <c r="X301" t="inlineStr">
        <is>
          <t>2003-02-04</t>
        </is>
      </c>
      <c r="Y301" t="inlineStr">
        <is>
          <t>2002-08-26</t>
        </is>
      </c>
      <c r="Z301" t="inlineStr">
        <is>
          <t>2002-08-26</t>
        </is>
      </c>
      <c r="AA301" t="n">
        <v>1</v>
      </c>
      <c r="AB301" t="n">
        <v>1</v>
      </c>
      <c r="AC301" t="n">
        <v>1</v>
      </c>
      <c r="AD301" t="n">
        <v>1</v>
      </c>
      <c r="AE301" t="n">
        <v>1</v>
      </c>
      <c r="AF301" t="n">
        <v>0</v>
      </c>
      <c r="AG301" t="n">
        <v>0</v>
      </c>
      <c r="AH301" t="n">
        <v>0</v>
      </c>
      <c r="AI301" t="n">
        <v>0</v>
      </c>
      <c r="AJ301" t="n">
        <v>0</v>
      </c>
      <c r="AK301" t="n">
        <v>0</v>
      </c>
      <c r="AL301" t="n">
        <v>0</v>
      </c>
      <c r="AM301" t="n">
        <v>0</v>
      </c>
      <c r="AN301" t="n">
        <v>0</v>
      </c>
      <c r="AO301" t="n">
        <v>0</v>
      </c>
      <c r="AP301" t="n">
        <v>0</v>
      </c>
      <c r="AQ301" t="n">
        <v>0</v>
      </c>
      <c r="AR301" t="inlineStr">
        <is>
          <t>No</t>
        </is>
      </c>
      <c r="AS301" t="inlineStr">
        <is>
          <t>No</t>
        </is>
      </c>
      <c r="AU301">
        <f>HYPERLINK("https://creighton-primo.hosted.exlibrisgroup.com/primo-explore/search?tab=default_tab&amp;search_scope=EVERYTHING&amp;vid=01CRU&amp;lang=en_US&amp;offset=0&amp;query=any,contains,991000328939702656","Catalog Record")</f>
        <v/>
      </c>
      <c r="AV301">
        <f>HYPERLINK("http://www.worldcat.org/oclc/50481927","WorldCat Record")</f>
        <v/>
      </c>
      <c r="AW301" t="inlineStr">
        <is>
          <t>6344072:eng</t>
        </is>
      </c>
      <c r="AX301" t="inlineStr">
        <is>
          <t>50481927</t>
        </is>
      </c>
      <c r="AY301" t="inlineStr">
        <is>
          <t>991000328939702656</t>
        </is>
      </c>
      <c r="AZ301" t="inlineStr">
        <is>
          <t>991000328939702656</t>
        </is>
      </c>
      <c r="BA301" t="inlineStr">
        <is>
          <t>2269176400002656</t>
        </is>
      </c>
      <c r="BB301" t="inlineStr">
        <is>
          <t>BOOK</t>
        </is>
      </c>
      <c r="BE301" t="inlineStr">
        <is>
          <t>30001004490332</t>
        </is>
      </c>
      <c r="BF301" t="inlineStr">
        <is>
          <t>893817023</t>
        </is>
      </c>
    </row>
    <row r="302">
      <c r="A302" t="inlineStr">
        <is>
          <t>No</t>
        </is>
      </c>
      <c r="B302" t="inlineStr">
        <is>
          <t>CUHSL</t>
        </is>
      </c>
      <c r="C302" t="inlineStr">
        <is>
          <t>SHELVES</t>
        </is>
      </c>
      <c r="D302" t="inlineStr">
        <is>
          <t>W 32 R333d 1949</t>
        </is>
      </c>
      <c r="E302" t="inlineStr">
        <is>
          <t>0                      W  0032000R  333d        1949</t>
        </is>
      </c>
      <c r="F302" t="inlineStr">
        <is>
          <t>Doctor and patient and the law / Louis J. Regan.</t>
        </is>
      </c>
      <c r="H302" t="inlineStr">
        <is>
          <t>No</t>
        </is>
      </c>
      <c r="I302" t="inlineStr">
        <is>
          <t>1</t>
        </is>
      </c>
      <c r="J302" t="inlineStr">
        <is>
          <t>Yes</t>
        </is>
      </c>
      <c r="K302" t="inlineStr">
        <is>
          <t>Yes</t>
        </is>
      </c>
      <c r="L302" t="inlineStr">
        <is>
          <t>0</t>
        </is>
      </c>
      <c r="M302" t="inlineStr">
        <is>
          <t>Regan, Louis J.</t>
        </is>
      </c>
      <c r="N302" t="inlineStr">
        <is>
          <t>Saint Louis : Mosby, c1949.</t>
        </is>
      </c>
      <c r="O302" t="inlineStr">
        <is>
          <t>1949</t>
        </is>
      </c>
      <c r="P302" t="inlineStr">
        <is>
          <t>2nd ed.</t>
        </is>
      </c>
      <c r="Q302" t="inlineStr">
        <is>
          <t>eng</t>
        </is>
      </c>
      <c r="R302" t="inlineStr">
        <is>
          <t>mou</t>
        </is>
      </c>
      <c r="T302" t="inlineStr">
        <is>
          <t xml:space="preserve">W  </t>
        </is>
      </c>
      <c r="U302" t="n">
        <v>2</v>
      </c>
      <c r="V302" t="n">
        <v>2</v>
      </c>
      <c r="W302" t="inlineStr">
        <is>
          <t>2002-09-25</t>
        </is>
      </c>
      <c r="X302" t="inlineStr">
        <is>
          <t>2002-09-25</t>
        </is>
      </c>
      <c r="Y302" t="inlineStr">
        <is>
          <t>1987-10-01</t>
        </is>
      </c>
      <c r="Z302" t="inlineStr">
        <is>
          <t>1991-07-16</t>
        </is>
      </c>
      <c r="AA302" t="n">
        <v>135</v>
      </c>
      <c r="AB302" t="n">
        <v>127</v>
      </c>
      <c r="AC302" t="n">
        <v>477</v>
      </c>
      <c r="AD302" t="n">
        <v>4</v>
      </c>
      <c r="AE302" t="n">
        <v>6</v>
      </c>
      <c r="AF302" t="n">
        <v>8</v>
      </c>
      <c r="AG302" t="n">
        <v>29</v>
      </c>
      <c r="AH302" t="n">
        <v>0</v>
      </c>
      <c r="AI302" t="n">
        <v>3</v>
      </c>
      <c r="AJ302" t="n">
        <v>2</v>
      </c>
      <c r="AK302" t="n">
        <v>4</v>
      </c>
      <c r="AL302" t="n">
        <v>0</v>
      </c>
      <c r="AM302" t="n">
        <v>3</v>
      </c>
      <c r="AN302" t="n">
        <v>1</v>
      </c>
      <c r="AO302" t="n">
        <v>3</v>
      </c>
      <c r="AP302" t="n">
        <v>5</v>
      </c>
      <c r="AQ302" t="n">
        <v>17</v>
      </c>
      <c r="AR302" t="inlineStr">
        <is>
          <t>Yes</t>
        </is>
      </c>
      <c r="AS302" t="inlineStr">
        <is>
          <t>No</t>
        </is>
      </c>
      <c r="AT302">
        <f>HYPERLINK("http://catalog.hathitrust.org/Record/001581835","HathiTrust Record")</f>
        <v/>
      </c>
      <c r="AU302">
        <f>HYPERLINK("https://creighton-primo.hosted.exlibrisgroup.com/primo-explore/search?tab=default_tab&amp;search_scope=EVERYTHING&amp;vid=01CRU&amp;lang=en_US&amp;offset=0&amp;query=any,contains,991001777319702656","Catalog Record")</f>
        <v/>
      </c>
      <c r="AV302">
        <f>HYPERLINK("http://www.worldcat.org/oclc/2956725","WorldCat Record")</f>
        <v/>
      </c>
      <c r="AW302" t="inlineStr">
        <is>
          <t>5949569:eng</t>
        </is>
      </c>
      <c r="AX302" t="inlineStr">
        <is>
          <t>2956725</t>
        </is>
      </c>
      <c r="AY302" t="inlineStr">
        <is>
          <t>991001777319702656</t>
        </is>
      </c>
      <c r="AZ302" t="inlineStr">
        <is>
          <t>991001777319702656</t>
        </is>
      </c>
      <c r="BA302" t="inlineStr">
        <is>
          <t>2268434340002656</t>
        </is>
      </c>
      <c r="BB302" t="inlineStr">
        <is>
          <t>BOOK</t>
        </is>
      </c>
      <c r="BE302" t="inlineStr">
        <is>
          <t>30001000308967</t>
        </is>
      </c>
      <c r="BF302" t="inlineStr">
        <is>
          <t>893451761</t>
        </is>
      </c>
    </row>
    <row r="303">
      <c r="A303" t="inlineStr">
        <is>
          <t>No</t>
        </is>
      </c>
      <c r="B303" t="inlineStr">
        <is>
          <t>CUHSL</t>
        </is>
      </c>
      <c r="C303" t="inlineStr">
        <is>
          <t>SHELVES</t>
        </is>
      </c>
      <c r="D303" t="inlineStr">
        <is>
          <t>W 32.5 AA1 C734 1993</t>
        </is>
      </c>
      <c r="E303" t="inlineStr">
        <is>
          <t>0                      W  0032500AA 1                  C  734         1993</t>
        </is>
      </c>
      <c r="F303" t="inlineStr">
        <is>
          <t>Communications and the Patient Self-Determination Act: strategies for meeting the educational mandate : a resource guide.</t>
        </is>
      </c>
      <c r="H303" t="inlineStr">
        <is>
          <t>No</t>
        </is>
      </c>
      <c r="I303" t="inlineStr">
        <is>
          <t>1</t>
        </is>
      </c>
      <c r="J303" t="inlineStr">
        <is>
          <t>No</t>
        </is>
      </c>
      <c r="K303" t="inlineStr">
        <is>
          <t>No</t>
        </is>
      </c>
      <c r="L303" t="inlineStr">
        <is>
          <t>0</t>
        </is>
      </c>
      <c r="N303" t="inlineStr">
        <is>
          <t>Washington, D.C. (Willard Off. Bldg., 1455 Pennsylvania Ave., N.W., Suite 200, Washington 20004) : Annenberg Washington Program, Communications Policy Studies, Northwestern University, c1993.</t>
        </is>
      </c>
      <c r="O303" t="inlineStr">
        <is>
          <t>1993</t>
        </is>
      </c>
      <c r="Q303" t="inlineStr">
        <is>
          <t>eng</t>
        </is>
      </c>
      <c r="R303" t="inlineStr">
        <is>
          <t>dcu</t>
        </is>
      </c>
      <c r="T303" t="inlineStr">
        <is>
          <t xml:space="preserve">W  </t>
        </is>
      </c>
      <c r="U303" t="n">
        <v>2</v>
      </c>
      <c r="V303" t="n">
        <v>2</v>
      </c>
      <c r="W303" t="inlineStr">
        <is>
          <t>2005-10-14</t>
        </is>
      </c>
      <c r="X303" t="inlineStr">
        <is>
          <t>2005-10-14</t>
        </is>
      </c>
      <c r="Y303" t="inlineStr">
        <is>
          <t>1998-08-05</t>
        </is>
      </c>
      <c r="Z303" t="inlineStr">
        <is>
          <t>1998-08-05</t>
        </is>
      </c>
      <c r="AA303" t="n">
        <v>60</v>
      </c>
      <c r="AB303" t="n">
        <v>60</v>
      </c>
      <c r="AC303" t="n">
        <v>63</v>
      </c>
      <c r="AD303" t="n">
        <v>1</v>
      </c>
      <c r="AE303" t="n">
        <v>1</v>
      </c>
      <c r="AF303" t="n">
        <v>2</v>
      </c>
      <c r="AG303" t="n">
        <v>2</v>
      </c>
      <c r="AH303" t="n">
        <v>1</v>
      </c>
      <c r="AI303" t="n">
        <v>1</v>
      </c>
      <c r="AJ303" t="n">
        <v>0</v>
      </c>
      <c r="AK303" t="n">
        <v>0</v>
      </c>
      <c r="AL303" t="n">
        <v>0</v>
      </c>
      <c r="AM303" t="n">
        <v>0</v>
      </c>
      <c r="AN303" t="n">
        <v>0</v>
      </c>
      <c r="AO303" t="n">
        <v>0</v>
      </c>
      <c r="AP303" t="n">
        <v>1</v>
      </c>
      <c r="AQ303" t="n">
        <v>1</v>
      </c>
      <c r="AR303" t="inlineStr">
        <is>
          <t>No</t>
        </is>
      </c>
      <c r="AS303" t="inlineStr">
        <is>
          <t>Yes</t>
        </is>
      </c>
      <c r="AT303">
        <f>HYPERLINK("http://catalog.hathitrust.org/Record/003502029","HathiTrust Record")</f>
        <v/>
      </c>
      <c r="AU303">
        <f>HYPERLINK("https://creighton-primo.hosted.exlibrisgroup.com/primo-explore/search?tab=default_tab&amp;search_scope=EVERYTHING&amp;vid=01CRU&amp;lang=en_US&amp;offset=0&amp;query=any,contains,991001007699702656","Catalog Record")</f>
        <v/>
      </c>
      <c r="AV303">
        <f>HYPERLINK("http://www.worldcat.org/oclc/29345909","WorldCat Record")</f>
        <v/>
      </c>
      <c r="AW303" t="inlineStr">
        <is>
          <t>55768420:eng</t>
        </is>
      </c>
      <c r="AX303" t="inlineStr">
        <is>
          <t>29345909</t>
        </is>
      </c>
      <c r="AY303" t="inlineStr">
        <is>
          <t>991001007699702656</t>
        </is>
      </c>
      <c r="AZ303" t="inlineStr">
        <is>
          <t>991001007699702656</t>
        </is>
      </c>
      <c r="BA303" t="inlineStr">
        <is>
          <t>2268054670002656</t>
        </is>
      </c>
      <c r="BB303" t="inlineStr">
        <is>
          <t>BOOK</t>
        </is>
      </c>
      <c r="BE303" t="inlineStr">
        <is>
          <t>30001003574425</t>
        </is>
      </c>
      <c r="BF303" t="inlineStr">
        <is>
          <t>893455386</t>
        </is>
      </c>
    </row>
    <row r="304">
      <c r="A304" t="inlineStr">
        <is>
          <t>No</t>
        </is>
      </c>
      <c r="B304" t="inlineStr">
        <is>
          <t>CUHSL</t>
        </is>
      </c>
      <c r="C304" t="inlineStr">
        <is>
          <t>SHELVES</t>
        </is>
      </c>
      <c r="D304" t="inlineStr">
        <is>
          <t>W 32.5 AA1 H313c 2003</t>
        </is>
      </c>
      <c r="E304" t="inlineStr">
        <is>
          <t>0                      W  0032500AA 1                  H  313c        2003</t>
        </is>
      </c>
      <c r="F304" t="inlineStr">
        <is>
          <t>Contemporary issues in healthcare law and ethics / Dean M. Harris.</t>
        </is>
      </c>
      <c r="H304" t="inlineStr">
        <is>
          <t>No</t>
        </is>
      </c>
      <c r="I304" t="inlineStr">
        <is>
          <t>1</t>
        </is>
      </c>
      <c r="J304" t="inlineStr">
        <is>
          <t>No</t>
        </is>
      </c>
      <c r="K304" t="inlineStr">
        <is>
          <t>Yes</t>
        </is>
      </c>
      <c r="L304" t="inlineStr">
        <is>
          <t>1</t>
        </is>
      </c>
      <c r="M304" t="inlineStr">
        <is>
          <t>Harris, Dean M., 1951-</t>
        </is>
      </c>
      <c r="N304" t="inlineStr">
        <is>
          <t>Washington, DC ; Chicago : AUPHA/HAP, c2003.</t>
        </is>
      </c>
      <c r="O304" t="inlineStr">
        <is>
          <t>2003</t>
        </is>
      </c>
      <c r="P304" t="inlineStr">
        <is>
          <t>2nd ed.</t>
        </is>
      </c>
      <c r="Q304" t="inlineStr">
        <is>
          <t>eng</t>
        </is>
      </c>
      <c r="R304" t="inlineStr">
        <is>
          <t>dcu</t>
        </is>
      </c>
      <c r="T304" t="inlineStr">
        <is>
          <t xml:space="preserve">W  </t>
        </is>
      </c>
      <c r="U304" t="n">
        <v>3</v>
      </c>
      <c r="V304" t="n">
        <v>3</v>
      </c>
      <c r="W304" t="inlineStr">
        <is>
          <t>2005-12-14</t>
        </is>
      </c>
      <c r="X304" t="inlineStr">
        <is>
          <t>2005-12-14</t>
        </is>
      </c>
      <c r="Y304" t="inlineStr">
        <is>
          <t>2004-09-22</t>
        </is>
      </c>
      <c r="Z304" t="inlineStr">
        <is>
          <t>2004-09-22</t>
        </is>
      </c>
      <c r="AA304" t="n">
        <v>203</v>
      </c>
      <c r="AB304" t="n">
        <v>193</v>
      </c>
      <c r="AC304" t="n">
        <v>1647</v>
      </c>
      <c r="AD304" t="n">
        <v>1</v>
      </c>
      <c r="AE304" t="n">
        <v>33</v>
      </c>
      <c r="AF304" t="n">
        <v>15</v>
      </c>
      <c r="AG304" t="n">
        <v>57</v>
      </c>
      <c r="AH304" t="n">
        <v>2</v>
      </c>
      <c r="AI304" t="n">
        <v>16</v>
      </c>
      <c r="AJ304" t="n">
        <v>2</v>
      </c>
      <c r="AK304" t="n">
        <v>7</v>
      </c>
      <c r="AL304" t="n">
        <v>4</v>
      </c>
      <c r="AM304" t="n">
        <v>13</v>
      </c>
      <c r="AN304" t="n">
        <v>0</v>
      </c>
      <c r="AO304" t="n">
        <v>16</v>
      </c>
      <c r="AP304" t="n">
        <v>9</v>
      </c>
      <c r="AQ304" t="n">
        <v>13</v>
      </c>
      <c r="AR304" t="inlineStr">
        <is>
          <t>No</t>
        </is>
      </c>
      <c r="AS304" t="inlineStr">
        <is>
          <t>Yes</t>
        </is>
      </c>
      <c r="AT304">
        <f>HYPERLINK("http://catalog.hathitrust.org/Record/004360358","HathiTrust Record")</f>
        <v/>
      </c>
      <c r="AU304">
        <f>HYPERLINK("https://creighton-primo.hosted.exlibrisgroup.com/primo-explore/search?tab=default_tab&amp;search_scope=EVERYTHING&amp;vid=01CRU&amp;lang=en_US&amp;offset=0&amp;query=any,contains,991000394679702656","Catalog Record")</f>
        <v/>
      </c>
      <c r="AV304">
        <f>HYPERLINK("http://www.worldcat.org/oclc/51655518","WorldCat Record")</f>
        <v/>
      </c>
      <c r="AW304" t="inlineStr">
        <is>
          <t>780109:eng</t>
        </is>
      </c>
      <c r="AX304" t="inlineStr">
        <is>
          <t>51655518</t>
        </is>
      </c>
      <c r="AY304" t="inlineStr">
        <is>
          <t>991000394679702656</t>
        </is>
      </c>
      <c r="AZ304" t="inlineStr">
        <is>
          <t>991000394679702656</t>
        </is>
      </c>
      <c r="BA304" t="inlineStr">
        <is>
          <t>2267546240002656</t>
        </is>
      </c>
      <c r="BB304" t="inlineStr">
        <is>
          <t>BOOK</t>
        </is>
      </c>
      <c r="BD304" t="inlineStr">
        <is>
          <t>9781567931983</t>
        </is>
      </c>
      <c r="BE304" t="inlineStr">
        <is>
          <t>30001004978468</t>
        </is>
      </c>
      <c r="BF304" t="inlineStr">
        <is>
          <t>893466240</t>
        </is>
      </c>
    </row>
    <row r="305">
      <c r="A305" t="inlineStr">
        <is>
          <t>No</t>
        </is>
      </c>
      <c r="B305" t="inlineStr">
        <is>
          <t>CUHSL</t>
        </is>
      </c>
      <c r="C305" t="inlineStr">
        <is>
          <t>SHELVES</t>
        </is>
      </c>
      <c r="D305" t="inlineStr">
        <is>
          <t>W32.5 AA1 H313h 1999</t>
        </is>
      </c>
      <c r="E305" t="inlineStr">
        <is>
          <t>0                      W  0032500AA 1                  H  313h        1999</t>
        </is>
      </c>
      <c r="F305" t="inlineStr">
        <is>
          <t>Healthcare law and ethics : issues for the age of managed care / Dean M. Harris.</t>
        </is>
      </c>
      <c r="H305" t="inlineStr">
        <is>
          <t>No</t>
        </is>
      </c>
      <c r="I305" t="inlineStr">
        <is>
          <t>1</t>
        </is>
      </c>
      <c r="J305" t="inlineStr">
        <is>
          <t>No</t>
        </is>
      </c>
      <c r="K305" t="inlineStr">
        <is>
          <t>No</t>
        </is>
      </c>
      <c r="L305" t="inlineStr">
        <is>
          <t>0</t>
        </is>
      </c>
      <c r="M305" t="inlineStr">
        <is>
          <t>Harris, Dean M., 1951-</t>
        </is>
      </c>
      <c r="N305" t="inlineStr">
        <is>
          <t>Chicago, Ill. : Health Administration Press ; Washington, D.C. : AUPHA Press, c1999.</t>
        </is>
      </c>
      <c r="O305" t="inlineStr">
        <is>
          <t>1999</t>
        </is>
      </c>
      <c r="Q305" t="inlineStr">
        <is>
          <t>eng</t>
        </is>
      </c>
      <c r="R305" t="inlineStr">
        <is>
          <t>ilu</t>
        </is>
      </c>
      <c r="T305" t="inlineStr">
        <is>
          <t xml:space="preserve">W  </t>
        </is>
      </c>
      <c r="U305" t="n">
        <v>6</v>
      </c>
      <c r="V305" t="n">
        <v>6</v>
      </c>
      <c r="W305" t="inlineStr">
        <is>
          <t>2005-12-14</t>
        </is>
      </c>
      <c r="X305" t="inlineStr">
        <is>
          <t>2005-12-14</t>
        </is>
      </c>
      <c r="Y305" t="inlineStr">
        <is>
          <t>2002-07-09</t>
        </is>
      </c>
      <c r="Z305" t="inlineStr">
        <is>
          <t>2002-07-09</t>
        </is>
      </c>
      <c r="AA305" t="n">
        <v>257</v>
      </c>
      <c r="AB305" t="n">
        <v>242</v>
      </c>
      <c r="AC305" t="n">
        <v>244</v>
      </c>
      <c r="AD305" t="n">
        <v>2</v>
      </c>
      <c r="AE305" t="n">
        <v>2</v>
      </c>
      <c r="AF305" t="n">
        <v>23</v>
      </c>
      <c r="AG305" t="n">
        <v>23</v>
      </c>
      <c r="AH305" t="n">
        <v>3</v>
      </c>
      <c r="AI305" t="n">
        <v>3</v>
      </c>
      <c r="AJ305" t="n">
        <v>7</v>
      </c>
      <c r="AK305" t="n">
        <v>7</v>
      </c>
      <c r="AL305" t="n">
        <v>5</v>
      </c>
      <c r="AM305" t="n">
        <v>5</v>
      </c>
      <c r="AN305" t="n">
        <v>1</v>
      </c>
      <c r="AO305" t="n">
        <v>1</v>
      </c>
      <c r="AP305" t="n">
        <v>10</v>
      </c>
      <c r="AQ305" t="n">
        <v>10</v>
      </c>
      <c r="AR305" t="inlineStr">
        <is>
          <t>No</t>
        </is>
      </c>
      <c r="AS305" t="inlineStr">
        <is>
          <t>Yes</t>
        </is>
      </c>
      <c r="AT305">
        <f>HYPERLINK("http://catalog.hathitrust.org/Record/004044663","HathiTrust Record")</f>
        <v/>
      </c>
      <c r="AU305">
        <f>HYPERLINK("https://creighton-primo.hosted.exlibrisgroup.com/primo-explore/search?tab=default_tab&amp;search_scope=EVERYTHING&amp;vid=01CRU&amp;lang=en_US&amp;offset=0&amp;query=any,contains,991000324129702656","Catalog Record")</f>
        <v/>
      </c>
      <c r="AV305">
        <f>HYPERLINK("http://www.worldcat.org/oclc/40940198","WorldCat Record")</f>
        <v/>
      </c>
      <c r="AW305" t="inlineStr">
        <is>
          <t>477683344:eng</t>
        </is>
      </c>
      <c r="AX305" t="inlineStr">
        <is>
          <t>40940198</t>
        </is>
      </c>
      <c r="AY305" t="inlineStr">
        <is>
          <t>991000324129702656</t>
        </is>
      </c>
      <c r="AZ305" t="inlineStr">
        <is>
          <t>991000324129702656</t>
        </is>
      </c>
      <c r="BA305" t="inlineStr">
        <is>
          <t>2264305850002656</t>
        </is>
      </c>
      <c r="BB305" t="inlineStr">
        <is>
          <t>BOOK</t>
        </is>
      </c>
      <c r="BD305" t="inlineStr">
        <is>
          <t>9781567931075</t>
        </is>
      </c>
      <c r="BE305" t="inlineStr">
        <is>
          <t>30001004443034</t>
        </is>
      </c>
      <c r="BF305" t="inlineStr">
        <is>
          <t>893728274</t>
        </is>
      </c>
    </row>
    <row r="306">
      <c r="A306" t="inlineStr">
        <is>
          <t>No</t>
        </is>
      </c>
      <c r="B306" t="inlineStr">
        <is>
          <t>CUHSL</t>
        </is>
      </c>
      <c r="C306" t="inlineStr">
        <is>
          <t>SHELVES</t>
        </is>
      </c>
      <c r="D306" t="inlineStr">
        <is>
          <t>W 32.5 AA1 L47 1995</t>
        </is>
      </c>
      <c r="E306" t="inlineStr">
        <is>
          <t>0                      W  0032500AA 1                  L  47          1995</t>
        </is>
      </c>
      <c r="F306" t="inlineStr">
        <is>
          <t>Legal medicine / American College of Legal Medicine.</t>
        </is>
      </c>
      <c r="H306" t="inlineStr">
        <is>
          <t>No</t>
        </is>
      </c>
      <c r="I306" t="inlineStr">
        <is>
          <t>1</t>
        </is>
      </c>
      <c r="J306" t="inlineStr">
        <is>
          <t>No</t>
        </is>
      </c>
      <c r="K306" t="inlineStr">
        <is>
          <t>Yes</t>
        </is>
      </c>
      <c r="L306" t="inlineStr">
        <is>
          <t>0</t>
        </is>
      </c>
      <c r="N306" t="inlineStr">
        <is>
          <t>St. Louis : Mosby Year Book, c1995.</t>
        </is>
      </c>
      <c r="O306" t="inlineStr">
        <is>
          <t>1995</t>
        </is>
      </c>
      <c r="P306" t="inlineStr">
        <is>
          <t>3rd ed.</t>
        </is>
      </c>
      <c r="Q306" t="inlineStr">
        <is>
          <t>eng</t>
        </is>
      </c>
      <c r="R306" t="inlineStr">
        <is>
          <t>mou</t>
        </is>
      </c>
      <c r="T306" t="inlineStr">
        <is>
          <t xml:space="preserve">W  </t>
        </is>
      </c>
      <c r="U306" t="n">
        <v>5</v>
      </c>
      <c r="V306" t="n">
        <v>5</v>
      </c>
      <c r="W306" t="inlineStr">
        <is>
          <t>1997-07-21</t>
        </is>
      </c>
      <c r="X306" t="inlineStr">
        <is>
          <t>1997-07-21</t>
        </is>
      </c>
      <c r="Y306" t="inlineStr">
        <is>
          <t>1995-08-30</t>
        </is>
      </c>
      <c r="Z306" t="inlineStr">
        <is>
          <t>1995-08-30</t>
        </is>
      </c>
      <c r="AA306" t="n">
        <v>232</v>
      </c>
      <c r="AB306" t="n">
        <v>205</v>
      </c>
      <c r="AC306" t="n">
        <v>659</v>
      </c>
      <c r="AD306" t="n">
        <v>2</v>
      </c>
      <c r="AE306" t="n">
        <v>3</v>
      </c>
      <c r="AF306" t="n">
        <v>9</v>
      </c>
      <c r="AG306" t="n">
        <v>22</v>
      </c>
      <c r="AH306" t="n">
        <v>1</v>
      </c>
      <c r="AI306" t="n">
        <v>4</v>
      </c>
      <c r="AJ306" t="n">
        <v>1</v>
      </c>
      <c r="AK306" t="n">
        <v>3</v>
      </c>
      <c r="AL306" t="n">
        <v>3</v>
      </c>
      <c r="AM306" t="n">
        <v>6</v>
      </c>
      <c r="AN306" t="n">
        <v>0</v>
      </c>
      <c r="AO306" t="n">
        <v>0</v>
      </c>
      <c r="AP306" t="n">
        <v>5</v>
      </c>
      <c r="AQ306" t="n">
        <v>11</v>
      </c>
      <c r="AR306" t="inlineStr">
        <is>
          <t>No</t>
        </is>
      </c>
      <c r="AS306" t="inlineStr">
        <is>
          <t>No</t>
        </is>
      </c>
      <c r="AU306">
        <f>HYPERLINK("https://creighton-primo.hosted.exlibrisgroup.com/primo-explore/search?tab=default_tab&amp;search_scope=EVERYTHING&amp;vid=01CRU&amp;lang=en_US&amp;offset=0&amp;query=any,contains,991001490159702656","Catalog Record")</f>
        <v/>
      </c>
      <c r="AV306">
        <f>HYPERLINK("http://www.worldcat.org/oclc/31604493","WorldCat Record")</f>
        <v/>
      </c>
      <c r="AW306" t="inlineStr">
        <is>
          <t>364499210:eng</t>
        </is>
      </c>
      <c r="AX306" t="inlineStr">
        <is>
          <t>31604493</t>
        </is>
      </c>
      <c r="AY306" t="inlineStr">
        <is>
          <t>991001490159702656</t>
        </is>
      </c>
      <c r="AZ306" t="inlineStr">
        <is>
          <t>991001490159702656</t>
        </is>
      </c>
      <c r="BA306" t="inlineStr">
        <is>
          <t>2270971480002656</t>
        </is>
      </c>
      <c r="BB306" t="inlineStr">
        <is>
          <t>BOOK</t>
        </is>
      </c>
      <c r="BD306" t="inlineStr">
        <is>
          <t>9780815101314</t>
        </is>
      </c>
      <c r="BE306" t="inlineStr">
        <is>
          <t>30001003260173</t>
        </is>
      </c>
      <c r="BF306" t="inlineStr">
        <is>
          <t>893552553</t>
        </is>
      </c>
    </row>
    <row r="307">
      <c r="A307" t="inlineStr">
        <is>
          <t>No</t>
        </is>
      </c>
      <c r="B307" t="inlineStr">
        <is>
          <t>CUHSL</t>
        </is>
      </c>
      <c r="C307" t="inlineStr">
        <is>
          <t>SHELVES</t>
        </is>
      </c>
      <c r="D307" t="inlineStr">
        <is>
          <t>W 32.5 AA1 L47 2004</t>
        </is>
      </c>
      <c r="E307" t="inlineStr">
        <is>
          <t>0                      W  0032500AA 1                  L  47          2004</t>
        </is>
      </c>
      <c r="F307" t="inlineStr">
        <is>
          <t>Legal medicine / American College of Legal Medicine Textbook Committee, S. Sandy Sanbar ... [et al.].</t>
        </is>
      </c>
      <c r="H307" t="inlineStr">
        <is>
          <t>No</t>
        </is>
      </c>
      <c r="I307" t="inlineStr">
        <is>
          <t>1</t>
        </is>
      </c>
      <c r="J307" t="inlineStr">
        <is>
          <t>No</t>
        </is>
      </c>
      <c r="K307" t="inlineStr">
        <is>
          <t>Yes</t>
        </is>
      </c>
      <c r="L307" t="inlineStr">
        <is>
          <t>0</t>
        </is>
      </c>
      <c r="N307" t="inlineStr">
        <is>
          <t>[St. Louis] : Mosby, c2004.</t>
        </is>
      </c>
      <c r="O307" t="inlineStr">
        <is>
          <t>2004</t>
        </is>
      </c>
      <c r="P307" t="inlineStr">
        <is>
          <t>6th ed.</t>
        </is>
      </c>
      <c r="Q307" t="inlineStr">
        <is>
          <t>eng</t>
        </is>
      </c>
      <c r="R307" t="inlineStr">
        <is>
          <t>mou</t>
        </is>
      </c>
      <c r="T307" t="inlineStr">
        <is>
          <t xml:space="preserve">W  </t>
        </is>
      </c>
      <c r="U307" t="n">
        <v>5</v>
      </c>
      <c r="V307" t="n">
        <v>5</v>
      </c>
      <c r="W307" t="inlineStr">
        <is>
          <t>2007-09-04</t>
        </is>
      </c>
      <c r="X307" t="inlineStr">
        <is>
          <t>2007-09-04</t>
        </is>
      </c>
      <c r="Y307" t="inlineStr">
        <is>
          <t>2004-09-02</t>
        </is>
      </c>
      <c r="Z307" t="inlineStr">
        <is>
          <t>2004-09-02</t>
        </is>
      </c>
      <c r="AA307" t="n">
        <v>272</v>
      </c>
      <c r="AB307" t="n">
        <v>236</v>
      </c>
      <c r="AC307" t="n">
        <v>659</v>
      </c>
      <c r="AD307" t="n">
        <v>1</v>
      </c>
      <c r="AE307" t="n">
        <v>3</v>
      </c>
      <c r="AF307" t="n">
        <v>12</v>
      </c>
      <c r="AG307" t="n">
        <v>22</v>
      </c>
      <c r="AH307" t="n">
        <v>3</v>
      </c>
      <c r="AI307" t="n">
        <v>4</v>
      </c>
      <c r="AJ307" t="n">
        <v>1</v>
      </c>
      <c r="AK307" t="n">
        <v>3</v>
      </c>
      <c r="AL307" t="n">
        <v>0</v>
      </c>
      <c r="AM307" t="n">
        <v>6</v>
      </c>
      <c r="AN307" t="n">
        <v>0</v>
      </c>
      <c r="AO307" t="n">
        <v>0</v>
      </c>
      <c r="AP307" t="n">
        <v>8</v>
      </c>
      <c r="AQ307" t="n">
        <v>11</v>
      </c>
      <c r="AR307" t="inlineStr">
        <is>
          <t>No</t>
        </is>
      </c>
      <c r="AS307" t="inlineStr">
        <is>
          <t>Yes</t>
        </is>
      </c>
      <c r="AT307">
        <f>HYPERLINK("http://catalog.hathitrust.org/Record/004373532","HathiTrust Record")</f>
        <v/>
      </c>
      <c r="AU307">
        <f>HYPERLINK("https://creighton-primo.hosted.exlibrisgroup.com/primo-explore/search?tab=default_tab&amp;search_scope=EVERYTHING&amp;vid=01CRU&amp;lang=en_US&amp;offset=0&amp;query=any,contains,991000382249702656","Catalog Record")</f>
        <v/>
      </c>
      <c r="AV307">
        <f>HYPERLINK("http://www.worldcat.org/oclc/53076290","WorldCat Record")</f>
        <v/>
      </c>
      <c r="AW307" t="inlineStr">
        <is>
          <t>364499210:eng</t>
        </is>
      </c>
      <c r="AX307" t="inlineStr">
        <is>
          <t>53076290</t>
        </is>
      </c>
      <c r="AY307" t="inlineStr">
        <is>
          <t>991000382249702656</t>
        </is>
      </c>
      <c r="AZ307" t="inlineStr">
        <is>
          <t>991000382249702656</t>
        </is>
      </c>
      <c r="BA307" t="inlineStr">
        <is>
          <t>2267373250002656</t>
        </is>
      </c>
      <c r="BB307" t="inlineStr">
        <is>
          <t>BOOK</t>
        </is>
      </c>
      <c r="BD307" t="inlineStr">
        <is>
          <t>9780323023986</t>
        </is>
      </c>
      <c r="BE307" t="inlineStr">
        <is>
          <t>30001004840593</t>
        </is>
      </c>
      <c r="BF307" t="inlineStr">
        <is>
          <t>893461445</t>
        </is>
      </c>
    </row>
    <row r="308">
      <c r="A308" t="inlineStr">
        <is>
          <t>No</t>
        </is>
      </c>
      <c r="B308" t="inlineStr">
        <is>
          <t>CUHSL</t>
        </is>
      </c>
      <c r="C308" t="inlineStr">
        <is>
          <t>SHELVES</t>
        </is>
      </c>
      <c r="D308" t="inlineStr">
        <is>
          <t>W32.5 AA1 L496 2001</t>
        </is>
      </c>
      <c r="E308" t="inlineStr">
        <is>
          <t>0                      W  0032500AA 1                  L  496         2001</t>
        </is>
      </c>
      <c r="F308" t="inlineStr">
        <is>
          <t>Legal medicine / American College of Legal Medicine Textbook Committee, S. Sandy Sanbar ... [et al.].</t>
        </is>
      </c>
      <c r="H308" t="inlineStr">
        <is>
          <t>No</t>
        </is>
      </c>
      <c r="I308" t="inlineStr">
        <is>
          <t>1</t>
        </is>
      </c>
      <c r="J308" t="inlineStr">
        <is>
          <t>No</t>
        </is>
      </c>
      <c r="K308" t="inlineStr">
        <is>
          <t>Yes</t>
        </is>
      </c>
      <c r="L308" t="inlineStr">
        <is>
          <t>0</t>
        </is>
      </c>
      <c r="N308" t="inlineStr">
        <is>
          <t>St. Louis : Mosby, c2001.</t>
        </is>
      </c>
      <c r="O308" t="inlineStr">
        <is>
          <t>2001</t>
        </is>
      </c>
      <c r="P308" t="inlineStr">
        <is>
          <t>5th ed.</t>
        </is>
      </c>
      <c r="Q308" t="inlineStr">
        <is>
          <t>eng</t>
        </is>
      </c>
      <c r="R308" t="inlineStr">
        <is>
          <t>mou</t>
        </is>
      </c>
      <c r="T308" t="inlineStr">
        <is>
          <t xml:space="preserve">W  </t>
        </is>
      </c>
      <c r="U308" t="n">
        <v>1</v>
      </c>
      <c r="V308" t="n">
        <v>1</v>
      </c>
      <c r="W308" t="inlineStr">
        <is>
          <t>2002-01-13</t>
        </is>
      </c>
      <c r="X308" t="inlineStr">
        <is>
          <t>2002-01-13</t>
        </is>
      </c>
      <c r="Y308" t="inlineStr">
        <is>
          <t>2001-12-19</t>
        </is>
      </c>
      <c r="Z308" t="inlineStr">
        <is>
          <t>2001-12-19</t>
        </is>
      </c>
      <c r="AA308" t="n">
        <v>230</v>
      </c>
      <c r="AB308" t="n">
        <v>197</v>
      </c>
      <c r="AC308" t="n">
        <v>659</v>
      </c>
      <c r="AD308" t="n">
        <v>1</v>
      </c>
      <c r="AE308" t="n">
        <v>3</v>
      </c>
      <c r="AF308" t="n">
        <v>4</v>
      </c>
      <c r="AG308" t="n">
        <v>22</v>
      </c>
      <c r="AH308" t="n">
        <v>0</v>
      </c>
      <c r="AI308" t="n">
        <v>4</v>
      </c>
      <c r="AJ308" t="n">
        <v>0</v>
      </c>
      <c r="AK308" t="n">
        <v>3</v>
      </c>
      <c r="AL308" t="n">
        <v>0</v>
      </c>
      <c r="AM308" t="n">
        <v>6</v>
      </c>
      <c r="AN308" t="n">
        <v>0</v>
      </c>
      <c r="AO308" t="n">
        <v>0</v>
      </c>
      <c r="AP308" t="n">
        <v>4</v>
      </c>
      <c r="AQ308" t="n">
        <v>11</v>
      </c>
      <c r="AR308" t="inlineStr">
        <is>
          <t>No</t>
        </is>
      </c>
      <c r="AS308" t="inlineStr">
        <is>
          <t>Yes</t>
        </is>
      </c>
      <c r="AT308">
        <f>HYPERLINK("http://catalog.hathitrust.org/Record/004170103","HathiTrust Record")</f>
        <v/>
      </c>
      <c r="AU308">
        <f>HYPERLINK("https://creighton-primo.hosted.exlibrisgroup.com/primo-explore/search?tab=default_tab&amp;search_scope=EVERYTHING&amp;vid=01CRU&amp;lang=en_US&amp;offset=0&amp;query=any,contains,991000298469702656","Catalog Record")</f>
        <v/>
      </c>
      <c r="AV308">
        <f>HYPERLINK("http://www.worldcat.org/oclc/45757781","WorldCat Record")</f>
        <v/>
      </c>
      <c r="AW308" t="inlineStr">
        <is>
          <t>364499210:eng</t>
        </is>
      </c>
      <c r="AX308" t="inlineStr">
        <is>
          <t>45757781</t>
        </is>
      </c>
      <c r="AY308" t="inlineStr">
        <is>
          <t>991000298469702656</t>
        </is>
      </c>
      <c r="AZ308" t="inlineStr">
        <is>
          <t>991000298469702656</t>
        </is>
      </c>
      <c r="BA308" t="inlineStr">
        <is>
          <t>2265026240002656</t>
        </is>
      </c>
      <c r="BB308" t="inlineStr">
        <is>
          <t>BOOK</t>
        </is>
      </c>
      <c r="BD308" t="inlineStr">
        <is>
          <t>9780323010603</t>
        </is>
      </c>
      <c r="BE308" t="inlineStr">
        <is>
          <t>30001004560399</t>
        </is>
      </c>
      <c r="BF308" t="inlineStr">
        <is>
          <t>893108267</t>
        </is>
      </c>
    </row>
    <row r="309">
      <c r="A309" t="inlineStr">
        <is>
          <t>No</t>
        </is>
      </c>
      <c r="B309" t="inlineStr">
        <is>
          <t>CUHSL</t>
        </is>
      </c>
      <c r="C309" t="inlineStr">
        <is>
          <t>SHELVES</t>
        </is>
      </c>
      <c r="D309" t="inlineStr">
        <is>
          <t>W 32.5 AA1 L9i 1978</t>
        </is>
      </c>
      <c r="E309" t="inlineStr">
        <is>
          <t>0                      W  0032500AA 1                  L  9i          1978</t>
        </is>
      </c>
      <c r="F309" t="inlineStr">
        <is>
          <t>Informed consent / James E. Ludlam.</t>
        </is>
      </c>
      <c r="H309" t="inlineStr">
        <is>
          <t>No</t>
        </is>
      </c>
      <c r="I309" t="inlineStr">
        <is>
          <t>1</t>
        </is>
      </c>
      <c r="J309" t="inlineStr">
        <is>
          <t>Yes</t>
        </is>
      </c>
      <c r="K309" t="inlineStr">
        <is>
          <t>No</t>
        </is>
      </c>
      <c r="L309" t="inlineStr">
        <is>
          <t>0</t>
        </is>
      </c>
      <c r="M309" t="inlineStr">
        <is>
          <t>Ludlam, James E.</t>
        </is>
      </c>
      <c r="N309" t="inlineStr">
        <is>
          <t>Chicago : American Hospital Assn., c1978.</t>
        </is>
      </c>
      <c r="O309" t="inlineStr">
        <is>
          <t>1978</t>
        </is>
      </c>
      <c r="Q309" t="inlineStr">
        <is>
          <t>eng</t>
        </is>
      </c>
      <c r="R309" t="inlineStr">
        <is>
          <t xml:space="preserve">xx </t>
        </is>
      </c>
      <c r="T309" t="inlineStr">
        <is>
          <t xml:space="preserve">W  </t>
        </is>
      </c>
      <c r="U309" t="n">
        <v>3</v>
      </c>
      <c r="V309" t="n">
        <v>3</v>
      </c>
      <c r="W309" t="inlineStr">
        <is>
          <t>1994-04-25</t>
        </is>
      </c>
      <c r="X309" t="inlineStr">
        <is>
          <t>1994-04-25</t>
        </is>
      </c>
      <c r="Y309" t="inlineStr">
        <is>
          <t>1987-10-01</t>
        </is>
      </c>
      <c r="Z309" t="inlineStr">
        <is>
          <t>1987-10-01</t>
        </is>
      </c>
      <c r="AA309" t="n">
        <v>238</v>
      </c>
      <c r="AB309" t="n">
        <v>210</v>
      </c>
      <c r="AC309" t="n">
        <v>215</v>
      </c>
      <c r="AD309" t="n">
        <v>4</v>
      </c>
      <c r="AE309" t="n">
        <v>4</v>
      </c>
      <c r="AF309" t="n">
        <v>11</v>
      </c>
      <c r="AG309" t="n">
        <v>11</v>
      </c>
      <c r="AH309" t="n">
        <v>0</v>
      </c>
      <c r="AI309" t="n">
        <v>0</v>
      </c>
      <c r="AJ309" t="n">
        <v>2</v>
      </c>
      <c r="AK309" t="n">
        <v>2</v>
      </c>
      <c r="AL309" t="n">
        <v>3</v>
      </c>
      <c r="AM309" t="n">
        <v>3</v>
      </c>
      <c r="AN309" t="n">
        <v>1</v>
      </c>
      <c r="AO309" t="n">
        <v>1</v>
      </c>
      <c r="AP309" t="n">
        <v>7</v>
      </c>
      <c r="AQ309" t="n">
        <v>7</v>
      </c>
      <c r="AR309" t="inlineStr">
        <is>
          <t>No</t>
        </is>
      </c>
      <c r="AS309" t="inlineStr">
        <is>
          <t>No</t>
        </is>
      </c>
      <c r="AU309">
        <f>HYPERLINK("https://creighton-primo.hosted.exlibrisgroup.com/primo-explore/search?tab=default_tab&amp;search_scope=EVERYTHING&amp;vid=01CRU&amp;lang=en_US&amp;offset=0&amp;query=any,contains,991001180769702656","Catalog Record")</f>
        <v/>
      </c>
      <c r="AV309">
        <f>HYPERLINK("http://www.worldcat.org/oclc/4503186","WorldCat Record")</f>
        <v/>
      </c>
      <c r="AW309" t="inlineStr">
        <is>
          <t>14787320:eng</t>
        </is>
      </c>
      <c r="AX309" t="inlineStr">
        <is>
          <t>4503186</t>
        </is>
      </c>
      <c r="AY309" t="inlineStr">
        <is>
          <t>991001180769702656</t>
        </is>
      </c>
      <c r="AZ309" t="inlineStr">
        <is>
          <t>991001180769702656</t>
        </is>
      </c>
      <c r="BA309" t="inlineStr">
        <is>
          <t>2265783390002656</t>
        </is>
      </c>
      <c r="BB309" t="inlineStr">
        <is>
          <t>BOOK</t>
        </is>
      </c>
      <c r="BD309" t="inlineStr">
        <is>
          <t>9780872582439</t>
        </is>
      </c>
      <c r="BE309" t="inlineStr">
        <is>
          <t>30001000308942</t>
        </is>
      </c>
      <c r="BF309" t="inlineStr">
        <is>
          <t>893546431</t>
        </is>
      </c>
    </row>
    <row r="310">
      <c r="A310" t="inlineStr">
        <is>
          <t>No</t>
        </is>
      </c>
      <c r="B310" t="inlineStr">
        <is>
          <t>CUHSL</t>
        </is>
      </c>
      <c r="C310" t="inlineStr">
        <is>
          <t>SHELVES</t>
        </is>
      </c>
      <c r="D310" t="inlineStr">
        <is>
          <t>W 32.5 AA1 P893L 1996</t>
        </is>
      </c>
      <c r="E310" t="inlineStr">
        <is>
          <t>0                      W  0032500AA 1                  P  893L        1996</t>
        </is>
      </c>
      <c r="F310" t="inlineStr">
        <is>
          <t>Legal aspects of health care administration / George D. Pozgar ; and legal and editorial review, Nina Santucci Pozgar.</t>
        </is>
      </c>
      <c r="H310" t="inlineStr">
        <is>
          <t>No</t>
        </is>
      </c>
      <c r="I310" t="inlineStr">
        <is>
          <t>1</t>
        </is>
      </c>
      <c r="J310" t="inlineStr">
        <is>
          <t>Yes</t>
        </is>
      </c>
      <c r="K310" t="inlineStr">
        <is>
          <t>Yes</t>
        </is>
      </c>
      <c r="L310" t="inlineStr">
        <is>
          <t>0</t>
        </is>
      </c>
      <c r="M310" t="inlineStr">
        <is>
          <t>Pozgar, George D.</t>
        </is>
      </c>
      <c r="N310" t="inlineStr">
        <is>
          <t>Gaithersburg, Md. : Aspen Publishers, c1996.</t>
        </is>
      </c>
      <c r="O310" t="inlineStr">
        <is>
          <t>1996</t>
        </is>
      </c>
      <c r="P310" t="inlineStr">
        <is>
          <t>6th ed.</t>
        </is>
      </c>
      <c r="Q310" t="inlineStr">
        <is>
          <t>eng</t>
        </is>
      </c>
      <c r="R310" t="inlineStr">
        <is>
          <t>mdu</t>
        </is>
      </c>
      <c r="T310" t="inlineStr">
        <is>
          <t xml:space="preserve">W  </t>
        </is>
      </c>
      <c r="U310" t="n">
        <v>2</v>
      </c>
      <c r="V310" t="n">
        <v>2</v>
      </c>
      <c r="W310" t="inlineStr">
        <is>
          <t>2000-02-17</t>
        </is>
      </c>
      <c r="X310" t="inlineStr">
        <is>
          <t>2000-02-17</t>
        </is>
      </c>
      <c r="Y310" t="inlineStr">
        <is>
          <t>1996-06-24</t>
        </is>
      </c>
      <c r="Z310" t="inlineStr">
        <is>
          <t>1996-06-24</t>
        </is>
      </c>
      <c r="AA310" t="n">
        <v>340</v>
      </c>
      <c r="AB310" t="n">
        <v>317</v>
      </c>
      <c r="AC310" t="n">
        <v>1362</v>
      </c>
      <c r="AD310" t="n">
        <v>3</v>
      </c>
      <c r="AE310" t="n">
        <v>11</v>
      </c>
      <c r="AF310" t="n">
        <v>19</v>
      </c>
      <c r="AG310" t="n">
        <v>66</v>
      </c>
      <c r="AH310" t="n">
        <v>3</v>
      </c>
      <c r="AI310" t="n">
        <v>18</v>
      </c>
      <c r="AJ310" t="n">
        <v>2</v>
      </c>
      <c r="AK310" t="n">
        <v>8</v>
      </c>
      <c r="AL310" t="n">
        <v>7</v>
      </c>
      <c r="AM310" t="n">
        <v>21</v>
      </c>
      <c r="AN310" t="n">
        <v>1</v>
      </c>
      <c r="AO310" t="n">
        <v>7</v>
      </c>
      <c r="AP310" t="n">
        <v>9</v>
      </c>
      <c r="AQ310" t="n">
        <v>21</v>
      </c>
      <c r="AR310" t="inlineStr">
        <is>
          <t>No</t>
        </is>
      </c>
      <c r="AS310" t="inlineStr">
        <is>
          <t>Yes</t>
        </is>
      </c>
      <c r="AT310">
        <f>HYPERLINK("http://catalog.hathitrust.org/Record/003026330","HathiTrust Record")</f>
        <v/>
      </c>
      <c r="AU310">
        <f>HYPERLINK("https://creighton-primo.hosted.exlibrisgroup.com/primo-explore/search?tab=default_tab&amp;search_scope=EVERYTHING&amp;vid=01CRU&amp;lang=en_US&amp;offset=0&amp;query=any,contains,991000833229702656","Catalog Record")</f>
        <v/>
      </c>
      <c r="AV310">
        <f>HYPERLINK("http://www.worldcat.org/oclc/33045206","WorldCat Record")</f>
        <v/>
      </c>
      <c r="AW310" t="inlineStr">
        <is>
          <t>357196:eng</t>
        </is>
      </c>
      <c r="AX310" t="inlineStr">
        <is>
          <t>33045206</t>
        </is>
      </c>
      <c r="AY310" t="inlineStr">
        <is>
          <t>991000833229702656</t>
        </is>
      </c>
      <c r="AZ310" t="inlineStr">
        <is>
          <t>991000833229702656</t>
        </is>
      </c>
      <c r="BA310" t="inlineStr">
        <is>
          <t>2264861400002656</t>
        </is>
      </c>
      <c r="BB310" t="inlineStr">
        <is>
          <t>BOOK</t>
        </is>
      </c>
      <c r="BD310" t="inlineStr">
        <is>
          <t>9780834207417</t>
        </is>
      </c>
      <c r="BE310" t="inlineStr">
        <is>
          <t>30001003440163</t>
        </is>
      </c>
      <c r="BF310" t="inlineStr">
        <is>
          <t>893632311</t>
        </is>
      </c>
    </row>
    <row r="311">
      <c r="A311" t="inlineStr">
        <is>
          <t>No</t>
        </is>
      </c>
      <c r="B311" t="inlineStr">
        <is>
          <t>CUHSL</t>
        </is>
      </c>
      <c r="C311" t="inlineStr">
        <is>
          <t>SHELVES</t>
        </is>
      </c>
      <c r="D311" t="inlineStr">
        <is>
          <t>W32.5 AA1 P893L 2003</t>
        </is>
      </c>
      <c r="E311" t="inlineStr">
        <is>
          <t>0                      W  0032500AA 1                  P  893L        2003</t>
        </is>
      </c>
      <c r="F311" t="inlineStr">
        <is>
          <t>Legal aspects of health care administration / George D. Pozgar ; legal review, Nina M. Santucci.</t>
        </is>
      </c>
      <c r="H311" t="inlineStr">
        <is>
          <t>No</t>
        </is>
      </c>
      <c r="I311" t="inlineStr">
        <is>
          <t>1</t>
        </is>
      </c>
      <c r="J311" t="inlineStr">
        <is>
          <t>No</t>
        </is>
      </c>
      <c r="K311" t="inlineStr">
        <is>
          <t>Yes</t>
        </is>
      </c>
      <c r="L311" t="inlineStr">
        <is>
          <t>0</t>
        </is>
      </c>
      <c r="M311" t="inlineStr">
        <is>
          <t>Pozgar, George D.</t>
        </is>
      </c>
      <c r="N311" t="inlineStr">
        <is>
          <t>Sudbury, MA : Jones and Bartlett Publishers, 2003.</t>
        </is>
      </c>
      <c r="O311" t="inlineStr">
        <is>
          <t>2003</t>
        </is>
      </c>
      <c r="P311" t="inlineStr">
        <is>
          <t>8th ed.</t>
        </is>
      </c>
      <c r="Q311" t="inlineStr">
        <is>
          <t>eng</t>
        </is>
      </c>
      <c r="R311" t="inlineStr">
        <is>
          <t>mau</t>
        </is>
      </c>
      <c r="T311" t="inlineStr">
        <is>
          <t xml:space="preserve">W  </t>
        </is>
      </c>
      <c r="U311" t="n">
        <v>10</v>
      </c>
      <c r="V311" t="n">
        <v>10</v>
      </c>
      <c r="W311" t="inlineStr">
        <is>
          <t>2007-09-04</t>
        </is>
      </c>
      <c r="X311" t="inlineStr">
        <is>
          <t>2007-09-04</t>
        </is>
      </c>
      <c r="Y311" t="inlineStr">
        <is>
          <t>2003-12-10</t>
        </is>
      </c>
      <c r="Z311" t="inlineStr">
        <is>
          <t>2003-12-10</t>
        </is>
      </c>
      <c r="AA311" t="n">
        <v>50</v>
      </c>
      <c r="AB311" t="n">
        <v>39</v>
      </c>
      <c r="AC311" t="n">
        <v>1362</v>
      </c>
      <c r="AD311" t="n">
        <v>1</v>
      </c>
      <c r="AE311" t="n">
        <v>11</v>
      </c>
      <c r="AF311" t="n">
        <v>1</v>
      </c>
      <c r="AG311" t="n">
        <v>66</v>
      </c>
      <c r="AH311" t="n">
        <v>0</v>
      </c>
      <c r="AI311" t="n">
        <v>18</v>
      </c>
      <c r="AJ311" t="n">
        <v>0</v>
      </c>
      <c r="AK311" t="n">
        <v>8</v>
      </c>
      <c r="AL311" t="n">
        <v>1</v>
      </c>
      <c r="AM311" t="n">
        <v>21</v>
      </c>
      <c r="AN311" t="n">
        <v>0</v>
      </c>
      <c r="AO311" t="n">
        <v>7</v>
      </c>
      <c r="AP311" t="n">
        <v>0</v>
      </c>
      <c r="AQ311" t="n">
        <v>21</v>
      </c>
      <c r="AR311" t="inlineStr">
        <is>
          <t>No</t>
        </is>
      </c>
      <c r="AS311" t="inlineStr">
        <is>
          <t>No</t>
        </is>
      </c>
      <c r="AU311">
        <f>HYPERLINK("https://creighton-primo.hosted.exlibrisgroup.com/primo-explore/search?tab=default_tab&amp;search_scope=EVERYTHING&amp;vid=01CRU&amp;lang=en_US&amp;offset=0&amp;query=any,contains,991000361229702656","Catalog Record")</f>
        <v/>
      </c>
      <c r="AV311">
        <f>HYPERLINK("http://www.worldcat.org/oclc/51531597","WorldCat Record")</f>
        <v/>
      </c>
      <c r="AW311" t="inlineStr">
        <is>
          <t>357196:eng</t>
        </is>
      </c>
      <c r="AX311" t="inlineStr">
        <is>
          <t>51531597</t>
        </is>
      </c>
      <c r="AY311" t="inlineStr">
        <is>
          <t>991000361229702656</t>
        </is>
      </c>
      <c r="AZ311" t="inlineStr">
        <is>
          <t>991000361229702656</t>
        </is>
      </c>
      <c r="BA311" t="inlineStr">
        <is>
          <t>2270287320002656</t>
        </is>
      </c>
      <c r="BB311" t="inlineStr">
        <is>
          <t>BOOK</t>
        </is>
      </c>
      <c r="BD311" t="inlineStr">
        <is>
          <t>9780763724948</t>
        </is>
      </c>
      <c r="BE311" t="inlineStr">
        <is>
          <t>30001004508018</t>
        </is>
      </c>
      <c r="BF311" t="inlineStr">
        <is>
          <t>893452062</t>
        </is>
      </c>
    </row>
    <row r="312">
      <c r="A312" t="inlineStr">
        <is>
          <t>No</t>
        </is>
      </c>
      <c r="B312" t="inlineStr">
        <is>
          <t>CUHSL</t>
        </is>
      </c>
      <c r="C312" t="inlineStr">
        <is>
          <t>SHELVES</t>
        </is>
      </c>
      <c r="D312" t="inlineStr">
        <is>
          <t>W32.5 AA1 P893La 2005</t>
        </is>
      </c>
      <c r="E312" t="inlineStr">
        <is>
          <t>0                      W  0032500AA 1                  P  893La       2005</t>
        </is>
      </c>
      <c r="F312" t="inlineStr">
        <is>
          <t>Legal and ethical issues for health professionals / George D. Pozgar.</t>
        </is>
      </c>
      <c r="H312" t="inlineStr">
        <is>
          <t>No</t>
        </is>
      </c>
      <c r="I312" t="inlineStr">
        <is>
          <t>1</t>
        </is>
      </c>
      <c r="J312" t="inlineStr">
        <is>
          <t>Yes</t>
        </is>
      </c>
      <c r="K312" t="inlineStr">
        <is>
          <t>Yes</t>
        </is>
      </c>
      <c r="L312" t="inlineStr">
        <is>
          <t>0</t>
        </is>
      </c>
      <c r="M312" t="inlineStr">
        <is>
          <t>Pozgar, George D.</t>
        </is>
      </c>
      <c r="N312" t="inlineStr">
        <is>
          <t>Boston : Jones and Bartlett Publishers, c2005.</t>
        </is>
      </c>
      <c r="O312" t="inlineStr">
        <is>
          <t>2005</t>
        </is>
      </c>
      <c r="P312" t="inlineStr">
        <is>
          <t>1st ed.</t>
        </is>
      </c>
      <c r="Q312" t="inlineStr">
        <is>
          <t>eng</t>
        </is>
      </c>
      <c r="R312" t="inlineStr">
        <is>
          <t>mau</t>
        </is>
      </c>
      <c r="T312" t="inlineStr">
        <is>
          <t xml:space="preserve">W  </t>
        </is>
      </c>
      <c r="U312" t="n">
        <v>10</v>
      </c>
      <c r="V312" t="n">
        <v>11</v>
      </c>
      <c r="W312" t="inlineStr">
        <is>
          <t>2009-09-14</t>
        </is>
      </c>
      <c r="X312" t="inlineStr">
        <is>
          <t>2009-09-14</t>
        </is>
      </c>
      <c r="Y312" t="inlineStr">
        <is>
          <t>2005-08-25</t>
        </is>
      </c>
      <c r="Z312" t="inlineStr">
        <is>
          <t>2005-09-08</t>
        </is>
      </c>
      <c r="AA312" t="n">
        <v>365</v>
      </c>
      <c r="AB312" t="n">
        <v>308</v>
      </c>
      <c r="AC312" t="n">
        <v>770</v>
      </c>
      <c r="AD312" t="n">
        <v>5</v>
      </c>
      <c r="AE312" t="n">
        <v>9</v>
      </c>
      <c r="AF312" t="n">
        <v>20</v>
      </c>
      <c r="AG312" t="n">
        <v>35</v>
      </c>
      <c r="AH312" t="n">
        <v>7</v>
      </c>
      <c r="AI312" t="n">
        <v>13</v>
      </c>
      <c r="AJ312" t="n">
        <v>3</v>
      </c>
      <c r="AK312" t="n">
        <v>5</v>
      </c>
      <c r="AL312" t="n">
        <v>3</v>
      </c>
      <c r="AM312" t="n">
        <v>7</v>
      </c>
      <c r="AN312" t="n">
        <v>3</v>
      </c>
      <c r="AO312" t="n">
        <v>5</v>
      </c>
      <c r="AP312" t="n">
        <v>6</v>
      </c>
      <c r="AQ312" t="n">
        <v>8</v>
      </c>
      <c r="AR312" t="inlineStr">
        <is>
          <t>No</t>
        </is>
      </c>
      <c r="AS312" t="inlineStr">
        <is>
          <t>Yes</t>
        </is>
      </c>
      <c r="AT312">
        <f>HYPERLINK("http://catalog.hathitrust.org/Record/004976258","HathiTrust Record")</f>
        <v/>
      </c>
      <c r="AU312">
        <f>HYPERLINK("https://creighton-primo.hosted.exlibrisgroup.com/primo-explore/search?tab=default_tab&amp;search_scope=EVERYTHING&amp;vid=01CRU&amp;lang=en_US&amp;offset=0&amp;query=any,contains,991001734909702656","Catalog Record")</f>
        <v/>
      </c>
      <c r="AV312">
        <f>HYPERLINK("http://www.worldcat.org/oclc/59818375","WorldCat Record")</f>
        <v/>
      </c>
      <c r="AW312" t="inlineStr">
        <is>
          <t>77722:eng</t>
        </is>
      </c>
      <c r="AX312" t="inlineStr">
        <is>
          <t>59818375</t>
        </is>
      </c>
      <c r="AY312" t="inlineStr">
        <is>
          <t>991001734909702656</t>
        </is>
      </c>
      <c r="AZ312" t="inlineStr">
        <is>
          <t>991001734909702656</t>
        </is>
      </c>
      <c r="BA312" t="inlineStr">
        <is>
          <t>2257132710002656</t>
        </is>
      </c>
      <c r="BB312" t="inlineStr">
        <is>
          <t>BOOK</t>
        </is>
      </c>
      <c r="BD312" t="inlineStr">
        <is>
          <t>9780763726331</t>
        </is>
      </c>
      <c r="BE312" t="inlineStr">
        <is>
          <t>30001004910305</t>
        </is>
      </c>
      <c r="BF312" t="inlineStr">
        <is>
          <t>893358943</t>
        </is>
      </c>
    </row>
    <row r="313">
      <c r="A313" t="inlineStr">
        <is>
          <t>No</t>
        </is>
      </c>
      <c r="B313" t="inlineStr">
        <is>
          <t>CUHSL</t>
        </is>
      </c>
      <c r="C313" t="inlineStr">
        <is>
          <t>SHELVES</t>
        </is>
      </c>
      <c r="D313" t="inlineStr">
        <is>
          <t>W 32.5 AA1 R822i 1981</t>
        </is>
      </c>
      <c r="E313" t="inlineStr">
        <is>
          <t>0                      W  0032500AA 1                  R  822i        1981</t>
        </is>
      </c>
      <c r="F313" t="inlineStr">
        <is>
          <t>Informed consent : a guide for health care providers / Arnold J. Rosoff.</t>
        </is>
      </c>
      <c r="H313" t="inlineStr">
        <is>
          <t>No</t>
        </is>
      </c>
      <c r="I313" t="inlineStr">
        <is>
          <t>1</t>
        </is>
      </c>
      <c r="J313" t="inlineStr">
        <is>
          <t>No</t>
        </is>
      </c>
      <c r="K313" t="inlineStr">
        <is>
          <t>No</t>
        </is>
      </c>
      <c r="L313" t="inlineStr">
        <is>
          <t>0</t>
        </is>
      </c>
      <c r="M313" t="inlineStr">
        <is>
          <t>Rosoff, Arnold J.</t>
        </is>
      </c>
      <c r="N313" t="inlineStr">
        <is>
          <t>Rockville, Md. : Aspen Systems Corp., c1981.</t>
        </is>
      </c>
      <c r="O313" t="inlineStr">
        <is>
          <t>1981</t>
        </is>
      </c>
      <c r="Q313" t="inlineStr">
        <is>
          <t>eng</t>
        </is>
      </c>
      <c r="R313" t="inlineStr">
        <is>
          <t>xxu</t>
        </is>
      </c>
      <c r="S313" t="inlineStr">
        <is>
          <t>Aspen publication</t>
        </is>
      </c>
      <c r="T313" t="inlineStr">
        <is>
          <t xml:space="preserve">W  </t>
        </is>
      </c>
      <c r="U313" t="n">
        <v>10</v>
      </c>
      <c r="V313" t="n">
        <v>10</v>
      </c>
      <c r="W313" t="inlineStr">
        <is>
          <t>1999-03-11</t>
        </is>
      </c>
      <c r="X313" t="inlineStr">
        <is>
          <t>1999-03-11</t>
        </is>
      </c>
      <c r="Y313" t="inlineStr">
        <is>
          <t>1987-10-01</t>
        </is>
      </c>
      <c r="Z313" t="inlineStr">
        <is>
          <t>1987-10-01</t>
        </is>
      </c>
      <c r="AA313" t="n">
        <v>527</v>
      </c>
      <c r="AB313" t="n">
        <v>492</v>
      </c>
      <c r="AC313" t="n">
        <v>498</v>
      </c>
      <c r="AD313" t="n">
        <v>2</v>
      </c>
      <c r="AE313" t="n">
        <v>2</v>
      </c>
      <c r="AF313" t="n">
        <v>28</v>
      </c>
      <c r="AG313" t="n">
        <v>28</v>
      </c>
      <c r="AH313" t="n">
        <v>7</v>
      </c>
      <c r="AI313" t="n">
        <v>7</v>
      </c>
      <c r="AJ313" t="n">
        <v>4</v>
      </c>
      <c r="AK313" t="n">
        <v>4</v>
      </c>
      <c r="AL313" t="n">
        <v>10</v>
      </c>
      <c r="AM313" t="n">
        <v>10</v>
      </c>
      <c r="AN313" t="n">
        <v>0</v>
      </c>
      <c r="AO313" t="n">
        <v>0</v>
      </c>
      <c r="AP313" t="n">
        <v>13</v>
      </c>
      <c r="AQ313" t="n">
        <v>13</v>
      </c>
      <c r="AR313" t="inlineStr">
        <is>
          <t>No</t>
        </is>
      </c>
      <c r="AS313" t="inlineStr">
        <is>
          <t>No</t>
        </is>
      </c>
      <c r="AU313">
        <f>HYPERLINK("https://creighton-primo.hosted.exlibrisgroup.com/primo-explore/search?tab=default_tab&amp;search_scope=EVERYTHING&amp;vid=01CRU&amp;lang=en_US&amp;offset=0&amp;query=any,contains,991001180659702656","Catalog Record")</f>
        <v/>
      </c>
      <c r="AV313">
        <f>HYPERLINK("http://www.worldcat.org/oclc/6579783","WorldCat Record")</f>
        <v/>
      </c>
      <c r="AW313" t="inlineStr">
        <is>
          <t>907274309:eng</t>
        </is>
      </c>
      <c r="AX313" t="inlineStr">
        <is>
          <t>6579783</t>
        </is>
      </c>
      <c r="AY313" t="inlineStr">
        <is>
          <t>991001180659702656</t>
        </is>
      </c>
      <c r="AZ313" t="inlineStr">
        <is>
          <t>991001180659702656</t>
        </is>
      </c>
      <c r="BA313" t="inlineStr">
        <is>
          <t>2264020710002656</t>
        </is>
      </c>
      <c r="BB313" t="inlineStr">
        <is>
          <t>BOOK</t>
        </is>
      </c>
      <c r="BD313" t="inlineStr">
        <is>
          <t>9780894432989</t>
        </is>
      </c>
      <c r="BE313" t="inlineStr">
        <is>
          <t>30001000308918</t>
        </is>
      </c>
      <c r="BF313" t="inlineStr">
        <is>
          <t>893287288</t>
        </is>
      </c>
    </row>
    <row r="314">
      <c r="A314" t="inlineStr">
        <is>
          <t>No</t>
        </is>
      </c>
      <c r="B314" t="inlineStr">
        <is>
          <t>CUHSL</t>
        </is>
      </c>
      <c r="C314" t="inlineStr">
        <is>
          <t>SHELVES</t>
        </is>
      </c>
      <c r="D314" t="inlineStr">
        <is>
          <t>W 32.5 AA1 W4m 1984</t>
        </is>
      </c>
      <c r="E314" t="inlineStr">
        <is>
          <t>0                      W  0032500AA 1                  W  4m          1984</t>
        </is>
      </c>
      <c r="F314" t="inlineStr">
        <is>
          <t>Medical malpractice law : how medicine is changing the law / Barbara Werthmann.</t>
        </is>
      </c>
      <c r="H314" t="inlineStr">
        <is>
          <t>No</t>
        </is>
      </c>
      <c r="I314" t="inlineStr">
        <is>
          <t>1</t>
        </is>
      </c>
      <c r="J314" t="inlineStr">
        <is>
          <t>No</t>
        </is>
      </c>
      <c r="K314" t="inlineStr">
        <is>
          <t>No</t>
        </is>
      </c>
      <c r="L314" t="inlineStr">
        <is>
          <t>0</t>
        </is>
      </c>
      <c r="M314" t="inlineStr">
        <is>
          <t>Werthmann, Barbara.</t>
        </is>
      </c>
      <c r="N314" t="inlineStr">
        <is>
          <t>Lexington, Mass. : LexingtonBooks, c1984.</t>
        </is>
      </c>
      <c r="O314" t="inlineStr">
        <is>
          <t>1984</t>
        </is>
      </c>
      <c r="Q314" t="inlineStr">
        <is>
          <t>eng</t>
        </is>
      </c>
      <c r="R314" t="inlineStr">
        <is>
          <t>xxu</t>
        </is>
      </c>
      <c r="T314" t="inlineStr">
        <is>
          <t xml:space="preserve">W  </t>
        </is>
      </c>
      <c r="U314" t="n">
        <v>3</v>
      </c>
      <c r="V314" t="n">
        <v>3</v>
      </c>
      <c r="W314" t="inlineStr">
        <is>
          <t>1990-04-28</t>
        </is>
      </c>
      <c r="X314" t="inlineStr">
        <is>
          <t>1990-04-28</t>
        </is>
      </c>
      <c r="Y314" t="inlineStr">
        <is>
          <t>1987-10-01</t>
        </is>
      </c>
      <c r="Z314" t="inlineStr">
        <is>
          <t>1987-10-01</t>
        </is>
      </c>
      <c r="AA314" t="n">
        <v>238</v>
      </c>
      <c r="AB314" t="n">
        <v>192</v>
      </c>
      <c r="AC314" t="n">
        <v>194</v>
      </c>
      <c r="AD314" t="n">
        <v>2</v>
      </c>
      <c r="AE314" t="n">
        <v>2</v>
      </c>
      <c r="AF314" t="n">
        <v>15</v>
      </c>
      <c r="AG314" t="n">
        <v>15</v>
      </c>
      <c r="AH314" t="n">
        <v>1</v>
      </c>
      <c r="AI314" t="n">
        <v>1</v>
      </c>
      <c r="AJ314" t="n">
        <v>2</v>
      </c>
      <c r="AK314" t="n">
        <v>2</v>
      </c>
      <c r="AL314" t="n">
        <v>1</v>
      </c>
      <c r="AM314" t="n">
        <v>1</v>
      </c>
      <c r="AN314" t="n">
        <v>0</v>
      </c>
      <c r="AO314" t="n">
        <v>0</v>
      </c>
      <c r="AP314" t="n">
        <v>12</v>
      </c>
      <c r="AQ314" t="n">
        <v>12</v>
      </c>
      <c r="AR314" t="inlineStr">
        <is>
          <t>No</t>
        </is>
      </c>
      <c r="AS314" t="inlineStr">
        <is>
          <t>Yes</t>
        </is>
      </c>
      <c r="AT314">
        <f>HYPERLINK("http://catalog.hathitrust.org/Record/000368258","HathiTrust Record")</f>
        <v/>
      </c>
      <c r="AU314">
        <f>HYPERLINK("https://creighton-primo.hosted.exlibrisgroup.com/primo-explore/search?tab=default_tab&amp;search_scope=EVERYTHING&amp;vid=01CRU&amp;lang=en_US&amp;offset=0&amp;query=any,contains,991001255839702656","Catalog Record")</f>
        <v/>
      </c>
      <c r="AV314">
        <f>HYPERLINK("http://www.worldcat.org/oclc/10606382","WorldCat Record")</f>
        <v/>
      </c>
      <c r="AW314" t="inlineStr">
        <is>
          <t>836660319:eng</t>
        </is>
      </c>
      <c r="AX314" t="inlineStr">
        <is>
          <t>10606382</t>
        </is>
      </c>
      <c r="AY314" t="inlineStr">
        <is>
          <t>991001255839702656</t>
        </is>
      </c>
      <c r="AZ314" t="inlineStr">
        <is>
          <t>991001255839702656</t>
        </is>
      </c>
      <c r="BA314" t="inlineStr">
        <is>
          <t>2258901040002656</t>
        </is>
      </c>
      <c r="BB314" t="inlineStr">
        <is>
          <t>BOOK</t>
        </is>
      </c>
      <c r="BD314" t="inlineStr">
        <is>
          <t>9780669077612</t>
        </is>
      </c>
      <c r="BE314" t="inlineStr">
        <is>
          <t>30001000344814</t>
        </is>
      </c>
      <c r="BF314" t="inlineStr">
        <is>
          <t>893268250</t>
        </is>
      </c>
    </row>
    <row r="315">
      <c r="A315" t="inlineStr">
        <is>
          <t>No</t>
        </is>
      </c>
      <c r="B315" t="inlineStr">
        <is>
          <t>CUHSL</t>
        </is>
      </c>
      <c r="C315" t="inlineStr">
        <is>
          <t>SHELVES</t>
        </is>
      </c>
      <c r="D315" t="inlineStr">
        <is>
          <t>W 32.5 AA1 W5a 1979</t>
        </is>
      </c>
      <c r="E315" t="inlineStr">
        <is>
          <t>0                      W  0032500AA 1                  W  5a          1979</t>
        </is>
      </c>
      <c r="F315" t="inlineStr">
        <is>
          <t>Academic litigation as educational consumerism / Wayne L. Whelan.</t>
        </is>
      </c>
      <c r="H315" t="inlineStr">
        <is>
          <t>No</t>
        </is>
      </c>
      <c r="I315" t="inlineStr">
        <is>
          <t>1</t>
        </is>
      </c>
      <c r="J315" t="inlineStr">
        <is>
          <t>No</t>
        </is>
      </c>
      <c r="K315" t="inlineStr">
        <is>
          <t>No</t>
        </is>
      </c>
      <c r="L315" t="inlineStr">
        <is>
          <t>0</t>
        </is>
      </c>
      <c r="M315" t="inlineStr">
        <is>
          <t>Whelan, Wayne L.</t>
        </is>
      </c>
      <c r="N315" t="inlineStr">
        <is>
          <t>New York : National League for Nursing, c1979.</t>
        </is>
      </c>
      <c r="O315" t="inlineStr">
        <is>
          <t>1979</t>
        </is>
      </c>
      <c r="Q315" t="inlineStr">
        <is>
          <t>eng</t>
        </is>
      </c>
      <c r="R315" t="inlineStr">
        <is>
          <t>nyu</t>
        </is>
      </c>
      <c r="S315" t="inlineStr">
        <is>
          <t>NLN pub. no. 23-1791</t>
        </is>
      </c>
      <c r="T315" t="inlineStr">
        <is>
          <t xml:space="preserve">W  </t>
        </is>
      </c>
      <c r="U315" t="n">
        <v>2</v>
      </c>
      <c r="V315" t="n">
        <v>2</v>
      </c>
      <c r="W315" t="inlineStr">
        <is>
          <t>1990-07-28</t>
        </is>
      </c>
      <c r="X315" t="inlineStr">
        <is>
          <t>1990-07-28</t>
        </is>
      </c>
      <c r="Y315" t="inlineStr">
        <is>
          <t>1987-11-04</t>
        </is>
      </c>
      <c r="Z315" t="inlineStr">
        <is>
          <t>1987-11-04</t>
        </is>
      </c>
      <c r="AA315" t="n">
        <v>98</v>
      </c>
      <c r="AB315" t="n">
        <v>89</v>
      </c>
      <c r="AC315" t="n">
        <v>91</v>
      </c>
      <c r="AD315" t="n">
        <v>1</v>
      </c>
      <c r="AE315" t="n">
        <v>1</v>
      </c>
      <c r="AF315" t="n">
        <v>3</v>
      </c>
      <c r="AG315" t="n">
        <v>3</v>
      </c>
      <c r="AH315" t="n">
        <v>0</v>
      </c>
      <c r="AI315" t="n">
        <v>0</v>
      </c>
      <c r="AJ315" t="n">
        <v>1</v>
      </c>
      <c r="AK315" t="n">
        <v>1</v>
      </c>
      <c r="AL315" t="n">
        <v>3</v>
      </c>
      <c r="AM315" t="n">
        <v>3</v>
      </c>
      <c r="AN315" t="n">
        <v>0</v>
      </c>
      <c r="AO315" t="n">
        <v>0</v>
      </c>
      <c r="AP315" t="n">
        <v>0</v>
      </c>
      <c r="AQ315" t="n">
        <v>0</v>
      </c>
      <c r="AR315" t="inlineStr">
        <is>
          <t>No</t>
        </is>
      </c>
      <c r="AS315" t="inlineStr">
        <is>
          <t>Yes</t>
        </is>
      </c>
      <c r="AT315">
        <f>HYPERLINK("http://catalog.hathitrust.org/Record/000758115","HathiTrust Record")</f>
        <v/>
      </c>
      <c r="AU315">
        <f>HYPERLINK("https://creighton-primo.hosted.exlibrisgroup.com/primo-explore/search?tab=default_tab&amp;search_scope=EVERYTHING&amp;vid=01CRU&amp;lang=en_US&amp;offset=0&amp;query=any,contains,991001388769702656","Catalog Record")</f>
        <v/>
      </c>
      <c r="AV315">
        <f>HYPERLINK("http://www.worldcat.org/oclc/5430400","WorldCat Record")</f>
        <v/>
      </c>
      <c r="AW315" t="inlineStr">
        <is>
          <t>17715461:eng</t>
        </is>
      </c>
      <c r="AX315" t="inlineStr">
        <is>
          <t>5430400</t>
        </is>
      </c>
      <c r="AY315" t="inlineStr">
        <is>
          <t>991001388769702656</t>
        </is>
      </c>
      <c r="AZ315" t="inlineStr">
        <is>
          <t>991001388769702656</t>
        </is>
      </c>
      <c r="BA315" t="inlineStr">
        <is>
          <t>2258557210002656</t>
        </is>
      </c>
      <c r="BB315" t="inlineStr">
        <is>
          <t>BOOK</t>
        </is>
      </c>
      <c r="BE315" t="inlineStr">
        <is>
          <t>30001000464406</t>
        </is>
      </c>
      <c r="BF315" t="inlineStr">
        <is>
          <t>893161930</t>
        </is>
      </c>
    </row>
    <row r="316">
      <c r="A316" t="inlineStr">
        <is>
          <t>No</t>
        </is>
      </c>
      <c r="B316" t="inlineStr">
        <is>
          <t>CUHSL</t>
        </is>
      </c>
      <c r="C316" t="inlineStr">
        <is>
          <t>SHELVES</t>
        </is>
      </c>
      <c r="D316" t="inlineStr">
        <is>
          <t>W 32.5 AA1 W824m 1999</t>
        </is>
      </c>
      <c r="E316" t="inlineStr">
        <is>
          <t>0                      W  0032500AA 1                  W  824m        1999</t>
        </is>
      </c>
      <c r="F316" t="inlineStr">
        <is>
          <t>Managing healthcare compliance / Scott C. Withrow.</t>
        </is>
      </c>
      <c r="H316" t="inlineStr">
        <is>
          <t>No</t>
        </is>
      </c>
      <c r="I316" t="inlineStr">
        <is>
          <t>1</t>
        </is>
      </c>
      <c r="J316" t="inlineStr">
        <is>
          <t>No</t>
        </is>
      </c>
      <c r="K316" t="inlineStr">
        <is>
          <t>No</t>
        </is>
      </c>
      <c r="L316" t="inlineStr">
        <is>
          <t>1</t>
        </is>
      </c>
      <c r="M316" t="inlineStr">
        <is>
          <t>Withrow, Scott C.</t>
        </is>
      </c>
      <c r="N316" t="inlineStr">
        <is>
          <t>Chicago, Ill. : Health Administration Press, c1999.</t>
        </is>
      </c>
      <c r="O316" t="inlineStr">
        <is>
          <t>1999</t>
        </is>
      </c>
      <c r="Q316" t="inlineStr">
        <is>
          <t>eng</t>
        </is>
      </c>
      <c r="R316" t="inlineStr">
        <is>
          <t>ilu</t>
        </is>
      </c>
      <c r="T316" t="inlineStr">
        <is>
          <t xml:space="preserve">W  </t>
        </is>
      </c>
      <c r="U316" t="n">
        <v>0</v>
      </c>
      <c r="V316" t="n">
        <v>0</v>
      </c>
      <c r="W316" t="inlineStr">
        <is>
          <t>2004-10-04</t>
        </is>
      </c>
      <c r="X316" t="inlineStr">
        <is>
          <t>2004-10-04</t>
        </is>
      </c>
      <c r="Y316" t="inlineStr">
        <is>
          <t>2004-09-29</t>
        </is>
      </c>
      <c r="Z316" t="inlineStr">
        <is>
          <t>2004-09-29</t>
        </is>
      </c>
      <c r="AA316" t="n">
        <v>143</v>
      </c>
      <c r="AB316" t="n">
        <v>134</v>
      </c>
      <c r="AC316" t="n">
        <v>1221</v>
      </c>
      <c r="AD316" t="n">
        <v>2</v>
      </c>
      <c r="AE316" t="n">
        <v>29</v>
      </c>
      <c r="AF316" t="n">
        <v>13</v>
      </c>
      <c r="AG316" t="n">
        <v>47</v>
      </c>
      <c r="AH316" t="n">
        <v>2</v>
      </c>
      <c r="AI316" t="n">
        <v>15</v>
      </c>
      <c r="AJ316" t="n">
        <v>2</v>
      </c>
      <c r="AK316" t="n">
        <v>7</v>
      </c>
      <c r="AL316" t="n">
        <v>4</v>
      </c>
      <c r="AM316" t="n">
        <v>13</v>
      </c>
      <c r="AN316" t="n">
        <v>1</v>
      </c>
      <c r="AO316" t="n">
        <v>14</v>
      </c>
      <c r="AP316" t="n">
        <v>6</v>
      </c>
      <c r="AQ316" t="n">
        <v>6</v>
      </c>
      <c r="AR316" t="inlineStr">
        <is>
          <t>No</t>
        </is>
      </c>
      <c r="AS316" t="inlineStr">
        <is>
          <t>No</t>
        </is>
      </c>
      <c r="AU316">
        <f>HYPERLINK("https://creighton-primo.hosted.exlibrisgroup.com/primo-explore/search?tab=default_tab&amp;search_scope=EVERYTHING&amp;vid=01CRU&amp;lang=en_US&amp;offset=0&amp;query=any,contains,991000399009702656","Catalog Record")</f>
        <v/>
      </c>
      <c r="AV316">
        <f>HYPERLINK("http://www.worldcat.org/oclc/40135333","WorldCat Record")</f>
        <v/>
      </c>
      <c r="AW316" t="inlineStr">
        <is>
          <t>1051265:eng</t>
        </is>
      </c>
      <c r="AX316" t="inlineStr">
        <is>
          <t>40135333</t>
        </is>
      </c>
      <c r="AY316" t="inlineStr">
        <is>
          <t>991000399009702656</t>
        </is>
      </c>
      <c r="AZ316" t="inlineStr">
        <is>
          <t>991000399009702656</t>
        </is>
      </c>
      <c r="BA316" t="inlineStr">
        <is>
          <t>2262626280002656</t>
        </is>
      </c>
      <c r="BB316" t="inlineStr">
        <is>
          <t>BOOK</t>
        </is>
      </c>
      <c r="BD316" t="inlineStr">
        <is>
          <t>9781567930962</t>
        </is>
      </c>
      <c r="BE316" t="inlineStr">
        <is>
          <t>30001004810299</t>
        </is>
      </c>
      <c r="BF316" t="inlineStr">
        <is>
          <t>893359528</t>
        </is>
      </c>
    </row>
    <row r="317">
      <c r="A317" t="inlineStr">
        <is>
          <t>No</t>
        </is>
      </c>
      <c r="B317" t="inlineStr">
        <is>
          <t>CUHSL</t>
        </is>
      </c>
      <c r="C317" t="inlineStr">
        <is>
          <t>SHELVES</t>
        </is>
      </c>
      <c r="D317" t="inlineStr">
        <is>
          <t>W 32.5 L675L 1998</t>
        </is>
      </c>
      <c r="E317" t="inlineStr">
        <is>
          <t>0                      W  0032500L  675L        1998</t>
        </is>
      </c>
      <c r="F317" t="inlineStr">
        <is>
          <t>Medical law, ethics, and bioethics for ambulatory care / Marcia (Marti) A. Lewis, Carol D. Tamparo.</t>
        </is>
      </c>
      <c r="H317" t="inlineStr">
        <is>
          <t>No</t>
        </is>
      </c>
      <c r="I317" t="inlineStr">
        <is>
          <t>1</t>
        </is>
      </c>
      <c r="J317" t="inlineStr">
        <is>
          <t>No</t>
        </is>
      </c>
      <c r="K317" t="inlineStr">
        <is>
          <t>No</t>
        </is>
      </c>
      <c r="L317" t="inlineStr">
        <is>
          <t>0</t>
        </is>
      </c>
      <c r="M317" t="inlineStr">
        <is>
          <t>Lewis, Marcia A.</t>
        </is>
      </c>
      <c r="N317" t="inlineStr">
        <is>
          <t>Philadelphia : F.A. Davis Co., c1998.</t>
        </is>
      </c>
      <c r="O317" t="inlineStr">
        <is>
          <t>1998</t>
        </is>
      </c>
      <c r="P317" t="inlineStr">
        <is>
          <t>4th ed.</t>
        </is>
      </c>
      <c r="Q317" t="inlineStr">
        <is>
          <t>eng</t>
        </is>
      </c>
      <c r="R317" t="inlineStr">
        <is>
          <t>pau</t>
        </is>
      </c>
      <c r="T317" t="inlineStr">
        <is>
          <t xml:space="preserve">W  </t>
        </is>
      </c>
      <c r="U317" t="n">
        <v>4</v>
      </c>
      <c r="V317" t="n">
        <v>4</v>
      </c>
      <c r="W317" t="inlineStr">
        <is>
          <t>1999-04-29</t>
        </is>
      </c>
      <c r="X317" t="inlineStr">
        <is>
          <t>1999-04-29</t>
        </is>
      </c>
      <c r="Y317" t="inlineStr">
        <is>
          <t>1998-04-21</t>
        </is>
      </c>
      <c r="Z317" t="inlineStr">
        <is>
          <t>1998-04-21</t>
        </is>
      </c>
      <c r="AA317" t="n">
        <v>254</v>
      </c>
      <c r="AB317" t="n">
        <v>227</v>
      </c>
      <c r="AC317" t="n">
        <v>321</v>
      </c>
      <c r="AD317" t="n">
        <v>2</v>
      </c>
      <c r="AE317" t="n">
        <v>2</v>
      </c>
      <c r="AF317" t="n">
        <v>12</v>
      </c>
      <c r="AG317" t="n">
        <v>15</v>
      </c>
      <c r="AH317" t="n">
        <v>1</v>
      </c>
      <c r="AI317" t="n">
        <v>3</v>
      </c>
      <c r="AJ317" t="n">
        <v>2</v>
      </c>
      <c r="AK317" t="n">
        <v>2</v>
      </c>
      <c r="AL317" t="n">
        <v>1</v>
      </c>
      <c r="AM317" t="n">
        <v>2</v>
      </c>
      <c r="AN317" t="n">
        <v>1</v>
      </c>
      <c r="AO317" t="n">
        <v>1</v>
      </c>
      <c r="AP317" t="n">
        <v>8</v>
      </c>
      <c r="AQ317" t="n">
        <v>9</v>
      </c>
      <c r="AR317" t="inlineStr">
        <is>
          <t>No</t>
        </is>
      </c>
      <c r="AS317" t="inlineStr">
        <is>
          <t>Yes</t>
        </is>
      </c>
      <c r="AT317">
        <f>HYPERLINK("http://catalog.hathitrust.org/Record/003971228","HathiTrust Record")</f>
        <v/>
      </c>
      <c r="AU317">
        <f>HYPERLINK("https://creighton-primo.hosted.exlibrisgroup.com/primo-explore/search?tab=default_tab&amp;search_scope=EVERYTHING&amp;vid=01CRU&amp;lang=en_US&amp;offset=0&amp;query=any,contains,991001429529702656","Catalog Record")</f>
        <v/>
      </c>
      <c r="AV317">
        <f>HYPERLINK("http://www.worldcat.org/oclc/38048052","WorldCat Record")</f>
        <v/>
      </c>
      <c r="AW317" t="inlineStr">
        <is>
          <t>38779742:eng</t>
        </is>
      </c>
      <c r="AX317" t="inlineStr">
        <is>
          <t>38048052</t>
        </is>
      </c>
      <c r="AY317" t="inlineStr">
        <is>
          <t>991001429529702656</t>
        </is>
      </c>
      <c r="AZ317" t="inlineStr">
        <is>
          <t>991001429529702656</t>
        </is>
      </c>
      <c r="BA317" t="inlineStr">
        <is>
          <t>2257708320002656</t>
        </is>
      </c>
      <c r="BB317" t="inlineStr">
        <is>
          <t>BOOK</t>
        </is>
      </c>
      <c r="BD317" t="inlineStr">
        <is>
          <t>9780803603486</t>
        </is>
      </c>
      <c r="BE317" t="inlineStr">
        <is>
          <t>30001003864453</t>
        </is>
      </c>
      <c r="BF317" t="inlineStr">
        <is>
          <t>893455801</t>
        </is>
      </c>
    </row>
    <row r="318">
      <c r="A318" t="inlineStr">
        <is>
          <t>No</t>
        </is>
      </c>
      <c r="B318" t="inlineStr">
        <is>
          <t>CUHSL</t>
        </is>
      </c>
      <c r="C318" t="inlineStr">
        <is>
          <t>SHELVES</t>
        </is>
      </c>
      <c r="D318" t="inlineStr">
        <is>
          <t>W 32.6 A646i 1987</t>
        </is>
      </c>
      <c r="E318" t="inlineStr">
        <is>
          <t>0                      W  0032600A  646i        1987</t>
        </is>
      </c>
      <c r="F318" t="inlineStr">
        <is>
          <t>Informed consent : legal theory and clinical practice / Paul S. Appelbaum, Charles W. Lidz, Alan Meisel.</t>
        </is>
      </c>
      <c r="H318" t="inlineStr">
        <is>
          <t>No</t>
        </is>
      </c>
      <c r="I318" t="inlineStr">
        <is>
          <t>1</t>
        </is>
      </c>
      <c r="J318" t="inlineStr">
        <is>
          <t>Yes</t>
        </is>
      </c>
      <c r="K318" t="inlineStr">
        <is>
          <t>Yes</t>
        </is>
      </c>
      <c r="L318" t="inlineStr">
        <is>
          <t>1</t>
        </is>
      </c>
      <c r="M318" t="inlineStr">
        <is>
          <t>Appelbaum, Paul S.</t>
        </is>
      </c>
      <c r="N318" t="inlineStr">
        <is>
          <t>New York : Oxford University Press, c1987.</t>
        </is>
      </c>
      <c r="O318" t="inlineStr">
        <is>
          <t>1987</t>
        </is>
      </c>
      <c r="Q318" t="inlineStr">
        <is>
          <t>eng</t>
        </is>
      </c>
      <c r="R318" t="inlineStr">
        <is>
          <t>xxu</t>
        </is>
      </c>
      <c r="T318" t="inlineStr">
        <is>
          <t xml:space="preserve">W  </t>
        </is>
      </c>
      <c r="U318" t="n">
        <v>17</v>
      </c>
      <c r="V318" t="n">
        <v>17</v>
      </c>
      <c r="W318" t="inlineStr">
        <is>
          <t>1997-04-28</t>
        </is>
      </c>
      <c r="X318" t="inlineStr">
        <is>
          <t>1997-04-28</t>
        </is>
      </c>
      <c r="Y318" t="inlineStr">
        <is>
          <t>1988-01-05</t>
        </is>
      </c>
      <c r="Z318" t="inlineStr">
        <is>
          <t>1988-01-05</t>
        </is>
      </c>
      <c r="AA318" t="n">
        <v>659</v>
      </c>
      <c r="AB318" t="n">
        <v>551</v>
      </c>
      <c r="AC318" t="n">
        <v>1505</v>
      </c>
      <c r="AD318" t="n">
        <v>5</v>
      </c>
      <c r="AE318" t="n">
        <v>17</v>
      </c>
      <c r="AF318" t="n">
        <v>44</v>
      </c>
      <c r="AG318" t="n">
        <v>79</v>
      </c>
      <c r="AH318" t="n">
        <v>13</v>
      </c>
      <c r="AI318" t="n">
        <v>23</v>
      </c>
      <c r="AJ318" t="n">
        <v>4</v>
      </c>
      <c r="AK318" t="n">
        <v>11</v>
      </c>
      <c r="AL318" t="n">
        <v>12</v>
      </c>
      <c r="AM318" t="n">
        <v>20</v>
      </c>
      <c r="AN318" t="n">
        <v>1</v>
      </c>
      <c r="AO318" t="n">
        <v>13</v>
      </c>
      <c r="AP318" t="n">
        <v>21</v>
      </c>
      <c r="AQ318" t="n">
        <v>24</v>
      </c>
      <c r="AR318" t="inlineStr">
        <is>
          <t>No</t>
        </is>
      </c>
      <c r="AS318" t="inlineStr">
        <is>
          <t>Yes</t>
        </is>
      </c>
      <c r="AT318">
        <f>HYPERLINK("http://catalog.hathitrust.org/Record/000916655","HathiTrust Record")</f>
        <v/>
      </c>
      <c r="AU318">
        <f>HYPERLINK("https://creighton-primo.hosted.exlibrisgroup.com/primo-explore/search?tab=default_tab&amp;search_scope=EVERYTHING&amp;vid=01CRU&amp;lang=en_US&amp;offset=0&amp;query=any,contains,991001536509702656","Catalog Record")</f>
        <v/>
      </c>
      <c r="AV318">
        <f>HYPERLINK("http://www.worldcat.org/oclc/13947684","WorldCat Record")</f>
        <v/>
      </c>
      <c r="AW318" t="inlineStr">
        <is>
          <t>1046123102:eng</t>
        </is>
      </c>
      <c r="AX318" t="inlineStr">
        <is>
          <t>13947684</t>
        </is>
      </c>
      <c r="AY318" t="inlineStr">
        <is>
          <t>991001536509702656</t>
        </is>
      </c>
      <c r="AZ318" t="inlineStr">
        <is>
          <t>991001536509702656</t>
        </is>
      </c>
      <c r="BA318" t="inlineStr">
        <is>
          <t>2267101130002656</t>
        </is>
      </c>
      <c r="BB318" t="inlineStr">
        <is>
          <t>BOOK</t>
        </is>
      </c>
      <c r="BD318" t="inlineStr">
        <is>
          <t>9780195038415</t>
        </is>
      </c>
      <c r="BE318" t="inlineStr">
        <is>
          <t>30001000623175</t>
        </is>
      </c>
      <c r="BF318" t="inlineStr">
        <is>
          <t>893149314</t>
        </is>
      </c>
    </row>
    <row r="319">
      <c r="A319" t="inlineStr">
        <is>
          <t>No</t>
        </is>
      </c>
      <c r="B319" t="inlineStr">
        <is>
          <t>CUHSL</t>
        </is>
      </c>
      <c r="C319" t="inlineStr">
        <is>
          <t>SHELVES</t>
        </is>
      </c>
      <c r="D319" t="inlineStr">
        <is>
          <t>W 32.6 B234i 1980</t>
        </is>
      </c>
      <c r="E319" t="inlineStr">
        <is>
          <t>0                      W  0032600B  234i        1980</t>
        </is>
      </c>
      <c r="F319" t="inlineStr">
        <is>
          <t>Informed consent in medical therapy and research / Bernard Barber.</t>
        </is>
      </c>
      <c r="H319" t="inlineStr">
        <is>
          <t>No</t>
        </is>
      </c>
      <c r="I319" t="inlineStr">
        <is>
          <t>1</t>
        </is>
      </c>
      <c r="J319" t="inlineStr">
        <is>
          <t>Yes</t>
        </is>
      </c>
      <c r="K319" t="inlineStr">
        <is>
          <t>No</t>
        </is>
      </c>
      <c r="L319" t="inlineStr">
        <is>
          <t>0</t>
        </is>
      </c>
      <c r="M319" t="inlineStr">
        <is>
          <t>Barber, Bernard.</t>
        </is>
      </c>
      <c r="N319" t="inlineStr">
        <is>
          <t>New Brunswick, N.J. : Rutgers Univ. Press, c1980.</t>
        </is>
      </c>
      <c r="O319" t="inlineStr">
        <is>
          <t>1980</t>
        </is>
      </c>
      <c r="Q319" t="inlineStr">
        <is>
          <t>eng</t>
        </is>
      </c>
      <c r="R319" t="inlineStr">
        <is>
          <t>xxu</t>
        </is>
      </c>
      <c r="T319" t="inlineStr">
        <is>
          <t xml:space="preserve">W  </t>
        </is>
      </c>
      <c r="U319" t="n">
        <v>9</v>
      </c>
      <c r="V319" t="n">
        <v>9</v>
      </c>
      <c r="W319" t="inlineStr">
        <is>
          <t>2002-12-11</t>
        </is>
      </c>
      <c r="X319" t="inlineStr">
        <is>
          <t>2002-12-11</t>
        </is>
      </c>
      <c r="Y319" t="inlineStr">
        <is>
          <t>1989-06-22</t>
        </is>
      </c>
      <c r="Z319" t="inlineStr">
        <is>
          <t>1989-06-22</t>
        </is>
      </c>
      <c r="AA319" t="n">
        <v>451</v>
      </c>
      <c r="AB319" t="n">
        <v>384</v>
      </c>
      <c r="AC319" t="n">
        <v>388</v>
      </c>
      <c r="AD319" t="n">
        <v>5</v>
      </c>
      <c r="AE319" t="n">
        <v>5</v>
      </c>
      <c r="AF319" t="n">
        <v>20</v>
      </c>
      <c r="AG319" t="n">
        <v>20</v>
      </c>
      <c r="AH319" t="n">
        <v>2</v>
      </c>
      <c r="AI319" t="n">
        <v>2</v>
      </c>
      <c r="AJ319" t="n">
        <v>2</v>
      </c>
      <c r="AK319" t="n">
        <v>2</v>
      </c>
      <c r="AL319" t="n">
        <v>5</v>
      </c>
      <c r="AM319" t="n">
        <v>5</v>
      </c>
      <c r="AN319" t="n">
        <v>2</v>
      </c>
      <c r="AO319" t="n">
        <v>2</v>
      </c>
      <c r="AP319" t="n">
        <v>11</v>
      </c>
      <c r="AQ319" t="n">
        <v>11</v>
      </c>
      <c r="AR319" t="inlineStr">
        <is>
          <t>No</t>
        </is>
      </c>
      <c r="AS319" t="inlineStr">
        <is>
          <t>Yes</t>
        </is>
      </c>
      <c r="AT319">
        <f>HYPERLINK("http://catalog.hathitrust.org/Record/000029533","HathiTrust Record")</f>
        <v/>
      </c>
      <c r="AU319">
        <f>HYPERLINK("https://creighton-primo.hosted.exlibrisgroup.com/primo-explore/search?tab=default_tab&amp;search_scope=EVERYTHING&amp;vid=01CRU&amp;lang=en_US&amp;offset=0&amp;query=any,contains,991001246569702656","Catalog Record")</f>
        <v/>
      </c>
      <c r="AV319">
        <f>HYPERLINK("http://www.worldcat.org/oclc/5353160","WorldCat Record")</f>
        <v/>
      </c>
      <c r="AW319" t="inlineStr">
        <is>
          <t>474556:eng</t>
        </is>
      </c>
      <c r="AX319" t="inlineStr">
        <is>
          <t>5353160</t>
        </is>
      </c>
      <c r="AY319" t="inlineStr">
        <is>
          <t>991001246569702656</t>
        </is>
      </c>
      <c r="AZ319" t="inlineStr">
        <is>
          <t>991001246569702656</t>
        </is>
      </c>
      <c r="BA319" t="inlineStr">
        <is>
          <t>2266458590002656</t>
        </is>
      </c>
      <c r="BB319" t="inlineStr">
        <is>
          <t>BOOK</t>
        </is>
      </c>
      <c r="BD319" t="inlineStr">
        <is>
          <t>9780813508894</t>
        </is>
      </c>
      <c r="BE319" t="inlineStr">
        <is>
          <t>30001001677469</t>
        </is>
      </c>
      <c r="BF319" t="inlineStr">
        <is>
          <t>893460386</t>
        </is>
      </c>
    </row>
    <row r="320">
      <c r="A320" t="inlineStr">
        <is>
          <t>No</t>
        </is>
      </c>
      <c r="B320" t="inlineStr">
        <is>
          <t>CUHSL</t>
        </is>
      </c>
      <c r="C320" t="inlineStr">
        <is>
          <t>SHELVES</t>
        </is>
      </c>
      <c r="D320" t="inlineStr">
        <is>
          <t>W 32.6 K35t 1991</t>
        </is>
      </c>
      <c r="E320" t="inlineStr">
        <is>
          <t>0                      W  0032600K  35t         1991</t>
        </is>
      </c>
      <c r="F320" t="inlineStr">
        <is>
          <t>Treat me right : essays in medical law and ethics / Ian Kennedy.</t>
        </is>
      </c>
      <c r="H320" t="inlineStr">
        <is>
          <t>No</t>
        </is>
      </c>
      <c r="I320" t="inlineStr">
        <is>
          <t>1</t>
        </is>
      </c>
      <c r="J320" t="inlineStr">
        <is>
          <t>No</t>
        </is>
      </c>
      <c r="K320" t="inlineStr">
        <is>
          <t>No</t>
        </is>
      </c>
      <c r="L320" t="inlineStr">
        <is>
          <t>0</t>
        </is>
      </c>
      <c r="M320" t="inlineStr">
        <is>
          <t>Kennedy, Ian, 1941-</t>
        </is>
      </c>
      <c r="N320" t="inlineStr">
        <is>
          <t>Oxford ; New York : Clarendon Press, c1991, c1988.</t>
        </is>
      </c>
      <c r="O320" t="inlineStr">
        <is>
          <t>1991</t>
        </is>
      </c>
      <c r="Q320" t="inlineStr">
        <is>
          <t>eng</t>
        </is>
      </c>
      <c r="R320" t="inlineStr">
        <is>
          <t>enk</t>
        </is>
      </c>
      <c r="T320" t="inlineStr">
        <is>
          <t xml:space="preserve">W  </t>
        </is>
      </c>
      <c r="U320" t="n">
        <v>17</v>
      </c>
      <c r="V320" t="n">
        <v>17</v>
      </c>
      <c r="W320" t="inlineStr">
        <is>
          <t>1998-02-27</t>
        </is>
      </c>
      <c r="X320" t="inlineStr">
        <is>
          <t>1998-02-27</t>
        </is>
      </c>
      <c r="Y320" t="inlineStr">
        <is>
          <t>1992-02-26</t>
        </is>
      </c>
      <c r="Z320" t="inlineStr">
        <is>
          <t>1992-02-26</t>
        </is>
      </c>
      <c r="AA320" t="n">
        <v>82</v>
      </c>
      <c r="AB320" t="n">
        <v>40</v>
      </c>
      <c r="AC320" t="n">
        <v>252</v>
      </c>
      <c r="AD320" t="n">
        <v>1</v>
      </c>
      <c r="AE320" t="n">
        <v>2</v>
      </c>
      <c r="AF320" t="n">
        <v>3</v>
      </c>
      <c r="AG320" t="n">
        <v>22</v>
      </c>
      <c r="AH320" t="n">
        <v>2</v>
      </c>
      <c r="AI320" t="n">
        <v>4</v>
      </c>
      <c r="AJ320" t="n">
        <v>1</v>
      </c>
      <c r="AK320" t="n">
        <v>3</v>
      </c>
      <c r="AL320" t="n">
        <v>0</v>
      </c>
      <c r="AM320" t="n">
        <v>5</v>
      </c>
      <c r="AN320" t="n">
        <v>0</v>
      </c>
      <c r="AO320" t="n">
        <v>1</v>
      </c>
      <c r="AP320" t="n">
        <v>1</v>
      </c>
      <c r="AQ320" t="n">
        <v>13</v>
      </c>
      <c r="AR320" t="inlineStr">
        <is>
          <t>No</t>
        </is>
      </c>
      <c r="AS320" t="inlineStr">
        <is>
          <t>No</t>
        </is>
      </c>
      <c r="AU320">
        <f>HYPERLINK("https://creighton-primo.hosted.exlibrisgroup.com/primo-explore/search?tab=default_tab&amp;search_scope=EVERYTHING&amp;vid=01CRU&amp;lang=en_US&amp;offset=0&amp;query=any,contains,991001033979702656","Catalog Record")</f>
        <v/>
      </c>
      <c r="AV320">
        <f>HYPERLINK("http://www.worldcat.org/oclc/24863635","WorldCat Record")</f>
        <v/>
      </c>
      <c r="AW320" t="inlineStr">
        <is>
          <t>836728175:eng</t>
        </is>
      </c>
      <c r="AX320" t="inlineStr">
        <is>
          <t>24863635</t>
        </is>
      </c>
      <c r="AY320" t="inlineStr">
        <is>
          <t>991001033979702656</t>
        </is>
      </c>
      <c r="AZ320" t="inlineStr">
        <is>
          <t>991001033979702656</t>
        </is>
      </c>
      <c r="BA320" t="inlineStr">
        <is>
          <t>2265316370002656</t>
        </is>
      </c>
      <c r="BB320" t="inlineStr">
        <is>
          <t>BOOK</t>
        </is>
      </c>
      <c r="BD320" t="inlineStr">
        <is>
          <t>9780198255581</t>
        </is>
      </c>
      <c r="BE320" t="inlineStr">
        <is>
          <t>30001002244384</t>
        </is>
      </c>
      <c r="BF320" t="inlineStr">
        <is>
          <t>893460225</t>
        </is>
      </c>
    </row>
    <row r="321">
      <c r="A321" t="inlineStr">
        <is>
          <t>No</t>
        </is>
      </c>
      <c r="B321" t="inlineStr">
        <is>
          <t>CUHSL</t>
        </is>
      </c>
      <c r="C321" t="inlineStr">
        <is>
          <t>SHELVES</t>
        </is>
      </c>
      <c r="D321" t="inlineStr">
        <is>
          <t>W 32.6 L675L 1988</t>
        </is>
      </c>
      <c r="E321" t="inlineStr">
        <is>
          <t>0                      W  0032600L  675L        1988</t>
        </is>
      </c>
      <c r="F321" t="inlineStr">
        <is>
          <t>Law and ethics in the medical office : including bioethical issues / Marcia A. Lewis, Carol D. Warden.</t>
        </is>
      </c>
      <c r="H321" t="inlineStr">
        <is>
          <t>No</t>
        </is>
      </c>
      <c r="I321" t="inlineStr">
        <is>
          <t>1</t>
        </is>
      </c>
      <c r="J321" t="inlineStr">
        <is>
          <t>No</t>
        </is>
      </c>
      <c r="K321" t="inlineStr">
        <is>
          <t>No</t>
        </is>
      </c>
      <c r="L321" t="inlineStr">
        <is>
          <t>0</t>
        </is>
      </c>
      <c r="M321" t="inlineStr">
        <is>
          <t>Lewis, Marcia A.</t>
        </is>
      </c>
      <c r="N321" t="inlineStr">
        <is>
          <t>Philadelphia : F.A. Davis, c1988.</t>
        </is>
      </c>
      <c r="O321" t="inlineStr">
        <is>
          <t>1988</t>
        </is>
      </c>
      <c r="P321" t="inlineStr">
        <is>
          <t>2nd ed.</t>
        </is>
      </c>
      <c r="Q321" t="inlineStr">
        <is>
          <t>eng</t>
        </is>
      </c>
      <c r="R321" t="inlineStr">
        <is>
          <t>xxu</t>
        </is>
      </c>
      <c r="T321" t="inlineStr">
        <is>
          <t xml:space="preserve">W  </t>
        </is>
      </c>
      <c r="U321" t="n">
        <v>5</v>
      </c>
      <c r="V321" t="n">
        <v>5</v>
      </c>
      <c r="W321" t="inlineStr">
        <is>
          <t>1992-11-18</t>
        </is>
      </c>
      <c r="X321" t="inlineStr">
        <is>
          <t>1992-11-18</t>
        </is>
      </c>
      <c r="Y321" t="inlineStr">
        <is>
          <t>1988-09-17</t>
        </is>
      </c>
      <c r="Z321" t="inlineStr">
        <is>
          <t>1988-09-17</t>
        </is>
      </c>
      <c r="AA321" t="n">
        <v>230</v>
      </c>
      <c r="AB321" t="n">
        <v>200</v>
      </c>
      <c r="AC321" t="n">
        <v>322</v>
      </c>
      <c r="AD321" t="n">
        <v>2</v>
      </c>
      <c r="AE321" t="n">
        <v>2</v>
      </c>
      <c r="AF321" t="n">
        <v>11</v>
      </c>
      <c r="AG321" t="n">
        <v>17</v>
      </c>
      <c r="AH321" t="n">
        <v>3</v>
      </c>
      <c r="AI321" t="n">
        <v>4</v>
      </c>
      <c r="AJ321" t="n">
        <v>1</v>
      </c>
      <c r="AK321" t="n">
        <v>3</v>
      </c>
      <c r="AL321" t="n">
        <v>3</v>
      </c>
      <c r="AM321" t="n">
        <v>4</v>
      </c>
      <c r="AN321" t="n">
        <v>0</v>
      </c>
      <c r="AO321" t="n">
        <v>0</v>
      </c>
      <c r="AP321" t="n">
        <v>7</v>
      </c>
      <c r="AQ321" t="n">
        <v>9</v>
      </c>
      <c r="AR321" t="inlineStr">
        <is>
          <t>No</t>
        </is>
      </c>
      <c r="AS321" t="inlineStr">
        <is>
          <t>Yes</t>
        </is>
      </c>
      <c r="AT321">
        <f>HYPERLINK("http://catalog.hathitrust.org/Record/001077068","HathiTrust Record")</f>
        <v/>
      </c>
      <c r="AU321">
        <f>HYPERLINK("https://creighton-primo.hosted.exlibrisgroup.com/primo-explore/search?tab=default_tab&amp;search_scope=EVERYTHING&amp;vid=01CRU&amp;lang=en_US&amp;offset=0&amp;query=any,contains,991001423859702656","Catalog Record")</f>
        <v/>
      </c>
      <c r="AV321">
        <f>HYPERLINK("http://www.worldcat.org/oclc/17549755","WorldCat Record")</f>
        <v/>
      </c>
      <c r="AW321" t="inlineStr">
        <is>
          <t>890026555:eng</t>
        </is>
      </c>
      <c r="AX321" t="inlineStr">
        <is>
          <t>17549755</t>
        </is>
      </c>
      <c r="AY321" t="inlineStr">
        <is>
          <t>991001423859702656</t>
        </is>
      </c>
      <c r="AZ321" t="inlineStr">
        <is>
          <t>991001423859702656</t>
        </is>
      </c>
      <c r="BA321" t="inlineStr">
        <is>
          <t>2260486180002656</t>
        </is>
      </c>
      <c r="BB321" t="inlineStr">
        <is>
          <t>BOOK</t>
        </is>
      </c>
      <c r="BD321" t="inlineStr">
        <is>
          <t>9780803656178</t>
        </is>
      </c>
      <c r="BE321" t="inlineStr">
        <is>
          <t>30001001183500</t>
        </is>
      </c>
      <c r="BF321" t="inlineStr">
        <is>
          <t>893460576</t>
        </is>
      </c>
    </row>
    <row r="322">
      <c r="A322" t="inlineStr">
        <is>
          <t>No</t>
        </is>
      </c>
      <c r="B322" t="inlineStr">
        <is>
          <t>CUHSL</t>
        </is>
      </c>
      <c r="C322" t="inlineStr">
        <is>
          <t>SHELVES</t>
        </is>
      </c>
      <c r="D322" t="inlineStr">
        <is>
          <t>W 32.6 L675L 1993</t>
        </is>
      </c>
      <c r="E322" t="inlineStr">
        <is>
          <t>0                      W  0032600L  675L        1993</t>
        </is>
      </c>
      <c r="F322" t="inlineStr">
        <is>
          <t>Medical law, ethics, and bioethics in the medical office / Marcia (Marti) A. Lewis, Carole D. Tamparo.</t>
        </is>
      </c>
      <c r="H322" t="inlineStr">
        <is>
          <t>No</t>
        </is>
      </c>
      <c r="I322" t="inlineStr">
        <is>
          <t>1</t>
        </is>
      </c>
      <c r="J322" t="inlineStr">
        <is>
          <t>No</t>
        </is>
      </c>
      <c r="K322" t="inlineStr">
        <is>
          <t>No</t>
        </is>
      </c>
      <c r="L322" t="inlineStr">
        <is>
          <t>0</t>
        </is>
      </c>
      <c r="M322" t="inlineStr">
        <is>
          <t>Lewis, Marcia A.</t>
        </is>
      </c>
      <c r="N322" t="inlineStr">
        <is>
          <t>Philadelphia : F.A. Davis, c1993.</t>
        </is>
      </c>
      <c r="O322" t="inlineStr">
        <is>
          <t>1993</t>
        </is>
      </c>
      <c r="P322" t="inlineStr">
        <is>
          <t>3rd ed.</t>
        </is>
      </c>
      <c r="Q322" t="inlineStr">
        <is>
          <t>eng</t>
        </is>
      </c>
      <c r="R322" t="inlineStr">
        <is>
          <t>pau</t>
        </is>
      </c>
      <c r="T322" t="inlineStr">
        <is>
          <t xml:space="preserve">W  </t>
        </is>
      </c>
      <c r="U322" t="n">
        <v>11</v>
      </c>
      <c r="V322" t="n">
        <v>11</v>
      </c>
      <c r="W322" t="inlineStr">
        <is>
          <t>2000-12-02</t>
        </is>
      </c>
      <c r="X322" t="inlineStr">
        <is>
          <t>2000-12-02</t>
        </is>
      </c>
      <c r="Y322" t="inlineStr">
        <is>
          <t>1993-09-02</t>
        </is>
      </c>
      <c r="Z322" t="inlineStr">
        <is>
          <t>1993-09-02</t>
        </is>
      </c>
      <c r="AA322" t="n">
        <v>200</v>
      </c>
      <c r="AB322" t="n">
        <v>174</v>
      </c>
      <c r="AC322" t="n">
        <v>179</v>
      </c>
      <c r="AD322" t="n">
        <v>1</v>
      </c>
      <c r="AE322" t="n">
        <v>1</v>
      </c>
      <c r="AF322" t="n">
        <v>4</v>
      </c>
      <c r="AG322" t="n">
        <v>4</v>
      </c>
      <c r="AH322" t="n">
        <v>0</v>
      </c>
      <c r="AI322" t="n">
        <v>0</v>
      </c>
      <c r="AJ322" t="n">
        <v>1</v>
      </c>
      <c r="AK322" t="n">
        <v>1</v>
      </c>
      <c r="AL322" t="n">
        <v>1</v>
      </c>
      <c r="AM322" t="n">
        <v>1</v>
      </c>
      <c r="AN322" t="n">
        <v>0</v>
      </c>
      <c r="AO322" t="n">
        <v>0</v>
      </c>
      <c r="AP322" t="n">
        <v>3</v>
      </c>
      <c r="AQ322" t="n">
        <v>3</v>
      </c>
      <c r="AR322" t="inlineStr">
        <is>
          <t>No</t>
        </is>
      </c>
      <c r="AS322" t="inlineStr">
        <is>
          <t>No</t>
        </is>
      </c>
      <c r="AU322">
        <f>HYPERLINK("https://creighton-primo.hosted.exlibrisgroup.com/primo-explore/search?tab=default_tab&amp;search_scope=EVERYTHING&amp;vid=01CRU&amp;lang=en_US&amp;offset=0&amp;query=any,contains,991001513709702656","Catalog Record")</f>
        <v/>
      </c>
      <c r="AV322">
        <f>HYPERLINK("http://www.worldcat.org/oclc/27072275","WorldCat Record")</f>
        <v/>
      </c>
      <c r="AW322" t="inlineStr">
        <is>
          <t>2595757563:eng</t>
        </is>
      </c>
      <c r="AX322" t="inlineStr">
        <is>
          <t>27072275</t>
        </is>
      </c>
      <c r="AY322" t="inlineStr">
        <is>
          <t>991001513709702656</t>
        </is>
      </c>
      <c r="AZ322" t="inlineStr">
        <is>
          <t>991001513709702656</t>
        </is>
      </c>
      <c r="BA322" t="inlineStr">
        <is>
          <t>2272311500002656</t>
        </is>
      </c>
      <c r="BB322" t="inlineStr">
        <is>
          <t>BOOK</t>
        </is>
      </c>
      <c r="BD322" t="inlineStr">
        <is>
          <t>9780803656246</t>
        </is>
      </c>
      <c r="BE322" t="inlineStr">
        <is>
          <t>30001002601377</t>
        </is>
      </c>
      <c r="BF322" t="inlineStr">
        <is>
          <t>893149297</t>
        </is>
      </c>
    </row>
    <row r="323">
      <c r="A323" t="inlineStr">
        <is>
          <t>No</t>
        </is>
      </c>
      <c r="B323" t="inlineStr">
        <is>
          <t>CUHSL</t>
        </is>
      </c>
      <c r="C323" t="inlineStr">
        <is>
          <t>SHELVES</t>
        </is>
      </c>
      <c r="D323" t="inlineStr">
        <is>
          <t>W 32.6 L884L 1942</t>
        </is>
      </c>
      <c r="E323" t="inlineStr">
        <is>
          <t>0                      W  0032600L  884L        1942</t>
        </is>
      </c>
      <c r="F323" t="inlineStr">
        <is>
          <t>Law in medical and dental practice / by Jack Neal Lott, Jr. and Robert Hanes Gray.</t>
        </is>
      </c>
      <c r="H323" t="inlineStr">
        <is>
          <t>No</t>
        </is>
      </c>
      <c r="I323" t="inlineStr">
        <is>
          <t>1</t>
        </is>
      </c>
      <c r="J323" t="inlineStr">
        <is>
          <t>No</t>
        </is>
      </c>
      <c r="K323" t="inlineStr">
        <is>
          <t>No</t>
        </is>
      </c>
      <c r="L323" t="inlineStr">
        <is>
          <t>0</t>
        </is>
      </c>
      <c r="M323" t="inlineStr">
        <is>
          <t>Lott, Jack Neal, 1906-</t>
        </is>
      </c>
      <c r="N323" t="inlineStr">
        <is>
          <t>Chicago : Foundation Press, c1942.</t>
        </is>
      </c>
      <c r="O323" t="inlineStr">
        <is>
          <t>1942</t>
        </is>
      </c>
      <c r="Q323" t="inlineStr">
        <is>
          <t>eng</t>
        </is>
      </c>
      <c r="R323" t="inlineStr">
        <is>
          <t>ilu</t>
        </is>
      </c>
      <c r="T323" t="inlineStr">
        <is>
          <t xml:space="preserve">W  </t>
        </is>
      </c>
      <c r="U323" t="n">
        <v>1</v>
      </c>
      <c r="V323" t="n">
        <v>1</v>
      </c>
      <c r="W323" t="inlineStr">
        <is>
          <t>1998-09-03</t>
        </is>
      </c>
      <c r="X323" t="inlineStr">
        <is>
          <t>1998-09-03</t>
        </is>
      </c>
      <c r="Y323" t="inlineStr">
        <is>
          <t>1987-10-01</t>
        </is>
      </c>
      <c r="Z323" t="inlineStr">
        <is>
          <t>1987-10-01</t>
        </is>
      </c>
      <c r="AA323" t="n">
        <v>74</v>
      </c>
      <c r="AB323" t="n">
        <v>63</v>
      </c>
      <c r="AC323" t="n">
        <v>94</v>
      </c>
      <c r="AD323" t="n">
        <v>1</v>
      </c>
      <c r="AE323" t="n">
        <v>1</v>
      </c>
      <c r="AF323" t="n">
        <v>6</v>
      </c>
      <c r="AG323" t="n">
        <v>7</v>
      </c>
      <c r="AH323" t="n">
        <v>0</v>
      </c>
      <c r="AI323" t="n">
        <v>0</v>
      </c>
      <c r="AJ323" t="n">
        <v>0</v>
      </c>
      <c r="AK323" t="n">
        <v>0</v>
      </c>
      <c r="AL323" t="n">
        <v>0</v>
      </c>
      <c r="AM323" t="n">
        <v>1</v>
      </c>
      <c r="AN323" t="n">
        <v>0</v>
      </c>
      <c r="AO323" t="n">
        <v>0</v>
      </c>
      <c r="AP323" t="n">
        <v>6</v>
      </c>
      <c r="AQ323" t="n">
        <v>6</v>
      </c>
      <c r="AR323" t="inlineStr">
        <is>
          <t>No</t>
        </is>
      </c>
      <c r="AS323" t="inlineStr">
        <is>
          <t>Yes</t>
        </is>
      </c>
      <c r="AT323">
        <f>HYPERLINK("http://catalog.hathitrust.org/Record/002068073","HathiTrust Record")</f>
        <v/>
      </c>
      <c r="AU323">
        <f>HYPERLINK("https://creighton-primo.hosted.exlibrisgroup.com/primo-explore/search?tab=default_tab&amp;search_scope=EVERYTHING&amp;vid=01CRU&amp;lang=en_US&amp;offset=0&amp;query=any,contains,991001180499702656","Catalog Record")</f>
        <v/>
      </c>
      <c r="AV323">
        <f>HYPERLINK("http://www.worldcat.org/oclc/3353581","WorldCat Record")</f>
        <v/>
      </c>
      <c r="AW323" t="inlineStr">
        <is>
          <t>2597152:eng</t>
        </is>
      </c>
      <c r="AX323" t="inlineStr">
        <is>
          <t>3353581</t>
        </is>
      </c>
      <c r="AY323" t="inlineStr">
        <is>
          <t>991001180499702656</t>
        </is>
      </c>
      <c r="AZ323" t="inlineStr">
        <is>
          <t>991001180499702656</t>
        </is>
      </c>
      <c r="BA323" t="inlineStr">
        <is>
          <t>2260460640002656</t>
        </is>
      </c>
      <c r="BB323" t="inlineStr">
        <is>
          <t>BOOK</t>
        </is>
      </c>
      <c r="BE323" t="inlineStr">
        <is>
          <t>30001000308884</t>
        </is>
      </c>
      <c r="BF323" t="inlineStr">
        <is>
          <t>893831976</t>
        </is>
      </c>
    </row>
    <row r="324">
      <c r="A324" t="inlineStr">
        <is>
          <t>No</t>
        </is>
      </c>
      <c r="B324" t="inlineStr">
        <is>
          <t>CUHSL</t>
        </is>
      </c>
      <c r="C324" t="inlineStr">
        <is>
          <t>SHELVES</t>
        </is>
      </c>
      <c r="D324" t="inlineStr">
        <is>
          <t>W 32.6 P174L 1989</t>
        </is>
      </c>
      <c r="E324" t="inlineStr">
        <is>
          <t>0                      W  0032600P  174L        1989</t>
        </is>
      </c>
      <c r="F324" t="inlineStr">
        <is>
          <t>Law, medicine, and social justice / Larry I. Palmer.</t>
        </is>
      </c>
      <c r="H324" t="inlineStr">
        <is>
          <t>No</t>
        </is>
      </c>
      <c r="I324" t="inlineStr">
        <is>
          <t>1</t>
        </is>
      </c>
      <c r="J324" t="inlineStr">
        <is>
          <t>No</t>
        </is>
      </c>
      <c r="K324" t="inlineStr">
        <is>
          <t>No</t>
        </is>
      </c>
      <c r="L324" t="inlineStr">
        <is>
          <t>0</t>
        </is>
      </c>
      <c r="M324" t="inlineStr">
        <is>
          <t>Palmer, Larry I., 1944-</t>
        </is>
      </c>
      <c r="N324" t="inlineStr">
        <is>
          <t>Louisville, Ky. : Westminster/John Knox Press, c1989.</t>
        </is>
      </c>
      <c r="O324" t="inlineStr">
        <is>
          <t>1989</t>
        </is>
      </c>
      <c r="P324" t="inlineStr">
        <is>
          <t>1st ed.</t>
        </is>
      </c>
      <c r="Q324" t="inlineStr">
        <is>
          <t>eng</t>
        </is>
      </c>
      <c r="R324" t="inlineStr">
        <is>
          <t>xxu</t>
        </is>
      </c>
      <c r="T324" t="inlineStr">
        <is>
          <t xml:space="preserve">W  </t>
        </is>
      </c>
      <c r="U324" t="n">
        <v>9</v>
      </c>
      <c r="V324" t="n">
        <v>9</v>
      </c>
      <c r="W324" t="inlineStr">
        <is>
          <t>2002-12-04</t>
        </is>
      </c>
      <c r="X324" t="inlineStr">
        <is>
          <t>2002-12-04</t>
        </is>
      </c>
      <c r="Y324" t="inlineStr">
        <is>
          <t>1989-10-09</t>
        </is>
      </c>
      <c r="Z324" t="inlineStr">
        <is>
          <t>1989-10-09</t>
        </is>
      </c>
      <c r="AA324" t="n">
        <v>511</v>
      </c>
      <c r="AB324" t="n">
        <v>464</v>
      </c>
      <c r="AC324" t="n">
        <v>469</v>
      </c>
      <c r="AD324" t="n">
        <v>2</v>
      </c>
      <c r="AE324" t="n">
        <v>2</v>
      </c>
      <c r="AF324" t="n">
        <v>31</v>
      </c>
      <c r="AG324" t="n">
        <v>31</v>
      </c>
      <c r="AH324" t="n">
        <v>4</v>
      </c>
      <c r="AI324" t="n">
        <v>4</v>
      </c>
      <c r="AJ324" t="n">
        <v>5</v>
      </c>
      <c r="AK324" t="n">
        <v>5</v>
      </c>
      <c r="AL324" t="n">
        <v>11</v>
      </c>
      <c r="AM324" t="n">
        <v>11</v>
      </c>
      <c r="AN324" t="n">
        <v>1</v>
      </c>
      <c r="AO324" t="n">
        <v>1</v>
      </c>
      <c r="AP324" t="n">
        <v>13</v>
      </c>
      <c r="AQ324" t="n">
        <v>13</v>
      </c>
      <c r="AR324" t="inlineStr">
        <is>
          <t>No</t>
        </is>
      </c>
      <c r="AS324" t="inlineStr">
        <is>
          <t>Yes</t>
        </is>
      </c>
      <c r="AT324">
        <f>HYPERLINK("http://catalog.hathitrust.org/Record/001304037","HathiTrust Record")</f>
        <v/>
      </c>
      <c r="AU324">
        <f>HYPERLINK("https://creighton-primo.hosted.exlibrisgroup.com/primo-explore/search?tab=default_tab&amp;search_scope=EVERYTHING&amp;vid=01CRU&amp;lang=en_US&amp;offset=0&amp;query=any,contains,991001317019702656","Catalog Record")</f>
        <v/>
      </c>
      <c r="AV324">
        <f>HYPERLINK("http://www.worldcat.org/oclc/18589036","WorldCat Record")</f>
        <v/>
      </c>
      <c r="AW324" t="inlineStr">
        <is>
          <t>18005122:eng</t>
        </is>
      </c>
      <c r="AX324" t="inlineStr">
        <is>
          <t>18589036</t>
        </is>
      </c>
      <c r="AY324" t="inlineStr">
        <is>
          <t>991001317019702656</t>
        </is>
      </c>
      <c r="AZ324" t="inlineStr">
        <is>
          <t>991001317019702656</t>
        </is>
      </c>
      <c r="BA324" t="inlineStr">
        <is>
          <t>2272589160002656</t>
        </is>
      </c>
      <c r="BB324" t="inlineStr">
        <is>
          <t>BOOK</t>
        </is>
      </c>
      <c r="BD324" t="inlineStr">
        <is>
          <t>9780664213336</t>
        </is>
      </c>
      <c r="BE324" t="inlineStr">
        <is>
          <t>30001001753153</t>
        </is>
      </c>
      <c r="BF324" t="inlineStr">
        <is>
          <t>893363963</t>
        </is>
      </c>
    </row>
    <row r="325">
      <c r="A325" t="inlineStr">
        <is>
          <t>No</t>
        </is>
      </c>
      <c r="B325" t="inlineStr">
        <is>
          <t>CUHSL</t>
        </is>
      </c>
      <c r="C325" t="inlineStr">
        <is>
          <t>SHELVES</t>
        </is>
      </c>
      <c r="D325" t="inlineStr">
        <is>
          <t>W 32.6 W425a 1989</t>
        </is>
      </c>
      <c r="E325" t="inlineStr">
        <is>
          <t>0                      W  0032600W  425a        1989</t>
        </is>
      </c>
      <c r="F325" t="inlineStr">
        <is>
          <t>Abating treatment with critically ill patients : ethical and legal limits to the medical prolongation of life / Robert F. Weir.</t>
        </is>
      </c>
      <c r="H325" t="inlineStr">
        <is>
          <t>No</t>
        </is>
      </c>
      <c r="I325" t="inlineStr">
        <is>
          <t>1</t>
        </is>
      </c>
      <c r="J325" t="inlineStr">
        <is>
          <t>No</t>
        </is>
      </c>
      <c r="K325" t="inlineStr">
        <is>
          <t>No</t>
        </is>
      </c>
      <c r="L325" t="inlineStr">
        <is>
          <t>0</t>
        </is>
      </c>
      <c r="M325" t="inlineStr">
        <is>
          <t>Weir, Robert F., 1943-</t>
        </is>
      </c>
      <c r="N325" t="inlineStr">
        <is>
          <t>New York : Oxford University Press, c1989.</t>
        </is>
      </c>
      <c r="O325" t="inlineStr">
        <is>
          <t>1989</t>
        </is>
      </c>
      <c r="Q325" t="inlineStr">
        <is>
          <t>eng</t>
        </is>
      </c>
      <c r="R325" t="inlineStr">
        <is>
          <t>xxu</t>
        </is>
      </c>
      <c r="T325" t="inlineStr">
        <is>
          <t xml:space="preserve">W  </t>
        </is>
      </c>
      <c r="U325" t="n">
        <v>4</v>
      </c>
      <c r="V325" t="n">
        <v>4</v>
      </c>
      <c r="W325" t="inlineStr">
        <is>
          <t>1991-04-21</t>
        </is>
      </c>
      <c r="X325" t="inlineStr">
        <is>
          <t>1991-04-21</t>
        </is>
      </c>
      <c r="Y325" t="inlineStr">
        <is>
          <t>1990-01-30</t>
        </is>
      </c>
      <c r="Z325" t="inlineStr">
        <is>
          <t>1990-01-30</t>
        </is>
      </c>
      <c r="AA325" t="n">
        <v>562</v>
      </c>
      <c r="AB325" t="n">
        <v>465</v>
      </c>
      <c r="AC325" t="n">
        <v>470</v>
      </c>
      <c r="AD325" t="n">
        <v>2</v>
      </c>
      <c r="AE325" t="n">
        <v>2</v>
      </c>
      <c r="AF325" t="n">
        <v>38</v>
      </c>
      <c r="AG325" t="n">
        <v>38</v>
      </c>
      <c r="AH325" t="n">
        <v>11</v>
      </c>
      <c r="AI325" t="n">
        <v>11</v>
      </c>
      <c r="AJ325" t="n">
        <v>5</v>
      </c>
      <c r="AK325" t="n">
        <v>5</v>
      </c>
      <c r="AL325" t="n">
        <v>17</v>
      </c>
      <c r="AM325" t="n">
        <v>17</v>
      </c>
      <c r="AN325" t="n">
        <v>0</v>
      </c>
      <c r="AO325" t="n">
        <v>0</v>
      </c>
      <c r="AP325" t="n">
        <v>15</v>
      </c>
      <c r="AQ325" t="n">
        <v>15</v>
      </c>
      <c r="AR325" t="inlineStr">
        <is>
          <t>No</t>
        </is>
      </c>
      <c r="AS325" t="inlineStr">
        <is>
          <t>No</t>
        </is>
      </c>
      <c r="AU325">
        <f>HYPERLINK("https://creighton-primo.hosted.exlibrisgroup.com/primo-explore/search?tab=default_tab&amp;search_scope=EVERYTHING&amp;vid=01CRU&amp;lang=en_US&amp;offset=0&amp;query=any,contains,991001445729702656","Catalog Record")</f>
        <v/>
      </c>
      <c r="AV325">
        <f>HYPERLINK("http://www.worldcat.org/oclc/19125259","WorldCat Record")</f>
        <v/>
      </c>
      <c r="AW325" t="inlineStr">
        <is>
          <t>836839311:eng</t>
        </is>
      </c>
      <c r="AX325" t="inlineStr">
        <is>
          <t>19125259</t>
        </is>
      </c>
      <c r="AY325" t="inlineStr">
        <is>
          <t>991001445729702656</t>
        </is>
      </c>
      <c r="AZ325" t="inlineStr">
        <is>
          <t>991001445729702656</t>
        </is>
      </c>
      <c r="BA325" t="inlineStr">
        <is>
          <t>2259578470002656</t>
        </is>
      </c>
      <c r="BB325" t="inlineStr">
        <is>
          <t>BOOK</t>
        </is>
      </c>
      <c r="BD325" t="inlineStr">
        <is>
          <t>9780195045284</t>
        </is>
      </c>
      <c r="BE325" t="inlineStr">
        <is>
          <t>30001001880451</t>
        </is>
      </c>
      <c r="BF325" t="inlineStr">
        <is>
          <t>893821221</t>
        </is>
      </c>
    </row>
    <row r="326">
      <c r="A326" t="inlineStr">
        <is>
          <t>No</t>
        </is>
      </c>
      <c r="B326" t="inlineStr">
        <is>
          <t>CUHSL</t>
        </is>
      </c>
      <c r="C326" t="inlineStr">
        <is>
          <t>SHELVES</t>
        </is>
      </c>
      <c r="D326" t="inlineStr">
        <is>
          <t>W 33 AA1 A613r 1981</t>
        </is>
      </c>
      <c r="E326" t="inlineStr">
        <is>
          <t>0                      W  0033000AA 1                  A  613r        1981</t>
        </is>
      </c>
      <c r="F326" t="inlineStr">
        <is>
          <t>The rights of doctors, nurses, and allied health professionals : a health law primer / George J. Annas, Leonard H. Glantz, and Barbara F. Katz.</t>
        </is>
      </c>
      <c r="H326" t="inlineStr">
        <is>
          <t>No</t>
        </is>
      </c>
      <c r="I326" t="inlineStr">
        <is>
          <t>1</t>
        </is>
      </c>
      <c r="J326" t="inlineStr">
        <is>
          <t>No</t>
        </is>
      </c>
      <c r="K326" t="inlineStr">
        <is>
          <t>No</t>
        </is>
      </c>
      <c r="L326" t="inlineStr">
        <is>
          <t>0</t>
        </is>
      </c>
      <c r="M326" t="inlineStr">
        <is>
          <t>Annas, George J.</t>
        </is>
      </c>
      <c r="N326" t="inlineStr">
        <is>
          <t>Cambridge, Mass. : Ballinger, c1981.</t>
        </is>
      </c>
      <c r="O326" t="inlineStr">
        <is>
          <t>1981</t>
        </is>
      </c>
      <c r="Q326" t="inlineStr">
        <is>
          <t>eng</t>
        </is>
      </c>
      <c r="R326" t="inlineStr">
        <is>
          <t>mau</t>
        </is>
      </c>
      <c r="S326" t="inlineStr">
        <is>
          <t>An American Civil Liberties Union handbook</t>
        </is>
      </c>
      <c r="T326" t="inlineStr">
        <is>
          <t xml:space="preserve">W  </t>
        </is>
      </c>
      <c r="U326" t="n">
        <v>8</v>
      </c>
      <c r="V326" t="n">
        <v>8</v>
      </c>
      <c r="W326" t="inlineStr">
        <is>
          <t>1994-04-30</t>
        </is>
      </c>
      <c r="X326" t="inlineStr">
        <is>
          <t>1994-04-30</t>
        </is>
      </c>
      <c r="Y326" t="inlineStr">
        <is>
          <t>1987-10-01</t>
        </is>
      </c>
      <c r="Z326" t="inlineStr">
        <is>
          <t>1987-10-01</t>
        </is>
      </c>
      <c r="AA326" t="n">
        <v>212</v>
      </c>
      <c r="AB326" t="n">
        <v>200</v>
      </c>
      <c r="AC326" t="n">
        <v>528</v>
      </c>
      <c r="AD326" t="n">
        <v>2</v>
      </c>
      <c r="AE326" t="n">
        <v>5</v>
      </c>
      <c r="AF326" t="n">
        <v>10</v>
      </c>
      <c r="AG326" t="n">
        <v>24</v>
      </c>
      <c r="AH326" t="n">
        <v>3</v>
      </c>
      <c r="AI326" t="n">
        <v>4</v>
      </c>
      <c r="AJ326" t="n">
        <v>2</v>
      </c>
      <c r="AK326" t="n">
        <v>2</v>
      </c>
      <c r="AL326" t="n">
        <v>2</v>
      </c>
      <c r="AM326" t="n">
        <v>6</v>
      </c>
      <c r="AN326" t="n">
        <v>1</v>
      </c>
      <c r="AO326" t="n">
        <v>3</v>
      </c>
      <c r="AP326" t="n">
        <v>3</v>
      </c>
      <c r="AQ326" t="n">
        <v>11</v>
      </c>
      <c r="AR326" t="inlineStr">
        <is>
          <t>No</t>
        </is>
      </c>
      <c r="AS326" t="inlineStr">
        <is>
          <t>Yes</t>
        </is>
      </c>
      <c r="AT326">
        <f>HYPERLINK("http://catalog.hathitrust.org/Record/000225572","HathiTrust Record")</f>
        <v/>
      </c>
      <c r="AU326">
        <f>HYPERLINK("https://creighton-primo.hosted.exlibrisgroup.com/primo-explore/search?tab=default_tab&amp;search_scope=EVERYTHING&amp;vid=01CRU&amp;lang=en_US&amp;offset=0&amp;query=any,contains,991001180379702656","Catalog Record")</f>
        <v/>
      </c>
      <c r="AV326">
        <f>HYPERLINK("http://www.worldcat.org/oclc/7844842","WorldCat Record")</f>
        <v/>
      </c>
      <c r="AW326" t="inlineStr">
        <is>
          <t>796599363:eng</t>
        </is>
      </c>
      <c r="AX326" t="inlineStr">
        <is>
          <t>7844842</t>
        </is>
      </c>
      <c r="AY326" t="inlineStr">
        <is>
          <t>991001180379702656</t>
        </is>
      </c>
      <c r="AZ326" t="inlineStr">
        <is>
          <t>991001180379702656</t>
        </is>
      </c>
      <c r="BA326" t="inlineStr">
        <is>
          <t>2270596190002656</t>
        </is>
      </c>
      <c r="BB326" t="inlineStr">
        <is>
          <t>BOOK</t>
        </is>
      </c>
      <c r="BD326" t="inlineStr">
        <is>
          <t>9780884107279</t>
        </is>
      </c>
      <c r="BE326" t="inlineStr">
        <is>
          <t>30001000308876</t>
        </is>
      </c>
      <c r="BF326" t="inlineStr">
        <is>
          <t>893450927</t>
        </is>
      </c>
    </row>
    <row r="327">
      <c r="A327" t="inlineStr">
        <is>
          <t>No</t>
        </is>
      </c>
      <c r="B327" t="inlineStr">
        <is>
          <t>CUHSL</t>
        </is>
      </c>
      <c r="C327" t="inlineStr">
        <is>
          <t>SHELVES</t>
        </is>
      </c>
      <c r="D327" t="inlineStr">
        <is>
          <t>W 33 AA1 M266 1998</t>
        </is>
      </c>
      <c r="E327" t="inlineStr">
        <is>
          <t>0                      W  0033000AA 1                  M  266         1998</t>
        </is>
      </c>
      <c r="F327" t="inlineStr">
        <is>
          <t>Managed care : state regulation / Aspen Health Law Center.</t>
        </is>
      </c>
      <c r="H327" t="inlineStr">
        <is>
          <t>No</t>
        </is>
      </c>
      <c r="I327" t="inlineStr">
        <is>
          <t>1</t>
        </is>
      </c>
      <c r="J327" t="inlineStr">
        <is>
          <t>No</t>
        </is>
      </c>
      <c r="K327" t="inlineStr">
        <is>
          <t>No</t>
        </is>
      </c>
      <c r="L327" t="inlineStr">
        <is>
          <t>0</t>
        </is>
      </c>
      <c r="N327" t="inlineStr">
        <is>
          <t>Gaithersburg, Md. : Aspen Publishers, c1998.</t>
        </is>
      </c>
      <c r="O327" t="inlineStr">
        <is>
          <t>1998</t>
        </is>
      </c>
      <c r="Q327" t="inlineStr">
        <is>
          <t>eng</t>
        </is>
      </c>
      <c r="R327" t="inlineStr">
        <is>
          <t>mdu</t>
        </is>
      </c>
      <c r="S327" t="inlineStr">
        <is>
          <t>Aspen Health Law Center current issues</t>
        </is>
      </c>
      <c r="T327" t="inlineStr">
        <is>
          <t xml:space="preserve">W  </t>
        </is>
      </c>
      <c r="U327" t="n">
        <v>2</v>
      </c>
      <c r="V327" t="n">
        <v>2</v>
      </c>
      <c r="W327" t="inlineStr">
        <is>
          <t>1999-11-26</t>
        </is>
      </c>
      <c r="X327" t="inlineStr">
        <is>
          <t>1999-11-26</t>
        </is>
      </c>
      <c r="Y327" t="inlineStr">
        <is>
          <t>1999-09-28</t>
        </is>
      </c>
      <c r="Z327" t="inlineStr">
        <is>
          <t>1999-09-28</t>
        </is>
      </c>
      <c r="AA327" t="n">
        <v>143</v>
      </c>
      <c r="AB327" t="n">
        <v>140</v>
      </c>
      <c r="AC327" t="n">
        <v>140</v>
      </c>
      <c r="AD327" t="n">
        <v>1</v>
      </c>
      <c r="AE327" t="n">
        <v>1</v>
      </c>
      <c r="AF327" t="n">
        <v>13</v>
      </c>
      <c r="AG327" t="n">
        <v>13</v>
      </c>
      <c r="AH327" t="n">
        <v>1</v>
      </c>
      <c r="AI327" t="n">
        <v>1</v>
      </c>
      <c r="AJ327" t="n">
        <v>2</v>
      </c>
      <c r="AK327" t="n">
        <v>2</v>
      </c>
      <c r="AL327" t="n">
        <v>3</v>
      </c>
      <c r="AM327" t="n">
        <v>3</v>
      </c>
      <c r="AN327" t="n">
        <v>0</v>
      </c>
      <c r="AO327" t="n">
        <v>0</v>
      </c>
      <c r="AP327" t="n">
        <v>8</v>
      </c>
      <c r="AQ327" t="n">
        <v>8</v>
      </c>
      <c r="AR327" t="inlineStr">
        <is>
          <t>No</t>
        </is>
      </c>
      <c r="AS327" t="inlineStr">
        <is>
          <t>No</t>
        </is>
      </c>
      <c r="AU327">
        <f>HYPERLINK("https://creighton-primo.hosted.exlibrisgroup.com/primo-explore/search?tab=default_tab&amp;search_scope=EVERYTHING&amp;vid=01CRU&amp;lang=en_US&amp;offset=0&amp;query=any,contains,991001338439702656","Catalog Record")</f>
        <v/>
      </c>
      <c r="AV327">
        <f>HYPERLINK("http://www.worldcat.org/oclc/38249129","WorldCat Record")</f>
        <v/>
      </c>
      <c r="AW327" t="inlineStr">
        <is>
          <t>42601794:eng</t>
        </is>
      </c>
      <c r="AX327" t="inlineStr">
        <is>
          <t>38249129</t>
        </is>
      </c>
      <c r="AY327" t="inlineStr">
        <is>
          <t>991001338439702656</t>
        </is>
      </c>
      <c r="AZ327" t="inlineStr">
        <is>
          <t>991001338439702656</t>
        </is>
      </c>
      <c r="BA327" t="inlineStr">
        <is>
          <t>2272283270002656</t>
        </is>
      </c>
      <c r="BB327" t="inlineStr">
        <is>
          <t>BOOK</t>
        </is>
      </c>
      <c r="BD327" t="inlineStr">
        <is>
          <t>9780834211209</t>
        </is>
      </c>
      <c r="BE327" t="inlineStr">
        <is>
          <t>30001003790906</t>
        </is>
      </c>
      <c r="BF327" t="inlineStr">
        <is>
          <t>893451093</t>
        </is>
      </c>
    </row>
    <row r="328">
      <c r="A328" t="inlineStr">
        <is>
          <t>No</t>
        </is>
      </c>
      <c r="B328" t="inlineStr">
        <is>
          <t>CUHSL</t>
        </is>
      </c>
      <c r="C328" t="inlineStr">
        <is>
          <t>SHELVES</t>
        </is>
      </c>
      <c r="D328" t="inlineStr">
        <is>
          <t>W 33 AA1 R332 1999</t>
        </is>
      </c>
      <c r="E328" t="inlineStr">
        <is>
          <t>0                      W  0033000AA 1                  R  332         1999</t>
        </is>
      </c>
      <c r="F328" t="inlineStr">
        <is>
          <t>IPA management : legal and compliance guidelines / Crystal S. Reeves, Kay B. Stanley.</t>
        </is>
      </c>
      <c r="H328" t="inlineStr">
        <is>
          <t>No</t>
        </is>
      </c>
      <c r="I328" t="inlineStr">
        <is>
          <t>1</t>
        </is>
      </c>
      <c r="J328" t="inlineStr">
        <is>
          <t>No</t>
        </is>
      </c>
      <c r="K328" t="inlineStr">
        <is>
          <t>No</t>
        </is>
      </c>
      <c r="L328" t="inlineStr">
        <is>
          <t>0</t>
        </is>
      </c>
      <c r="M328" t="inlineStr">
        <is>
          <t>Reeves, Crystal S.</t>
        </is>
      </c>
      <c r="N328" t="inlineStr">
        <is>
          <t>New York : McGraw-Hill, c1999.</t>
        </is>
      </c>
      <c r="O328" t="inlineStr">
        <is>
          <t>1999</t>
        </is>
      </c>
      <c r="Q328" t="inlineStr">
        <is>
          <t>eng</t>
        </is>
      </c>
      <c r="R328" t="inlineStr">
        <is>
          <t>nyu</t>
        </is>
      </c>
      <c r="S328" t="inlineStr">
        <is>
          <t>The HFMA healthcare financial management series</t>
        </is>
      </c>
      <c r="T328" t="inlineStr">
        <is>
          <t xml:space="preserve">W  </t>
        </is>
      </c>
      <c r="U328" t="n">
        <v>2</v>
      </c>
      <c r="V328" t="n">
        <v>2</v>
      </c>
      <c r="W328" t="inlineStr">
        <is>
          <t>2005-09-06</t>
        </is>
      </c>
      <c r="X328" t="inlineStr">
        <is>
          <t>2005-09-06</t>
        </is>
      </c>
      <c r="Y328" t="inlineStr">
        <is>
          <t>2004-09-24</t>
        </is>
      </c>
      <c r="Z328" t="inlineStr">
        <is>
          <t>2004-09-24</t>
        </is>
      </c>
      <c r="AA328" t="n">
        <v>9</v>
      </c>
      <c r="AB328" t="n">
        <v>9</v>
      </c>
      <c r="AC328" t="n">
        <v>9</v>
      </c>
      <c r="AD328" t="n">
        <v>1</v>
      </c>
      <c r="AE328" t="n">
        <v>1</v>
      </c>
      <c r="AF328" t="n">
        <v>0</v>
      </c>
      <c r="AG328" t="n">
        <v>0</v>
      </c>
      <c r="AH328" t="n">
        <v>0</v>
      </c>
      <c r="AI328" t="n">
        <v>0</v>
      </c>
      <c r="AJ328" t="n">
        <v>0</v>
      </c>
      <c r="AK328" t="n">
        <v>0</v>
      </c>
      <c r="AL328" t="n">
        <v>0</v>
      </c>
      <c r="AM328" t="n">
        <v>0</v>
      </c>
      <c r="AN328" t="n">
        <v>0</v>
      </c>
      <c r="AO328" t="n">
        <v>0</v>
      </c>
      <c r="AP328" t="n">
        <v>0</v>
      </c>
      <c r="AQ328" t="n">
        <v>0</v>
      </c>
      <c r="AR328" t="inlineStr">
        <is>
          <t>No</t>
        </is>
      </c>
      <c r="AS328" t="inlineStr">
        <is>
          <t>No</t>
        </is>
      </c>
      <c r="AU328">
        <f>HYPERLINK("https://creighton-primo.hosted.exlibrisgroup.com/primo-explore/search?tab=default_tab&amp;search_scope=EVERYTHING&amp;vid=01CRU&amp;lang=en_US&amp;offset=0&amp;query=any,contains,991000397109702656","Catalog Record")</f>
        <v/>
      </c>
      <c r="AV328">
        <f>HYPERLINK("http://www.worldcat.org/oclc/41482372","WorldCat Record")</f>
        <v/>
      </c>
      <c r="AW328" t="inlineStr">
        <is>
          <t>14340546:eng</t>
        </is>
      </c>
      <c r="AX328" t="inlineStr">
        <is>
          <t>41482372</t>
        </is>
      </c>
      <c r="AY328" t="inlineStr">
        <is>
          <t>991000397109702656</t>
        </is>
      </c>
      <c r="AZ328" t="inlineStr">
        <is>
          <t>991000397109702656</t>
        </is>
      </c>
      <c r="BA328" t="inlineStr">
        <is>
          <t>2263882370002656</t>
        </is>
      </c>
      <c r="BB328" t="inlineStr">
        <is>
          <t>BOOK</t>
        </is>
      </c>
      <c r="BD328" t="inlineStr">
        <is>
          <t>9780071342971</t>
        </is>
      </c>
      <c r="BE328" t="inlineStr">
        <is>
          <t>30001004978849</t>
        </is>
      </c>
      <c r="BF328" t="inlineStr">
        <is>
          <t>893151009</t>
        </is>
      </c>
    </row>
    <row r="329">
      <c r="A329" t="inlineStr">
        <is>
          <t>No</t>
        </is>
      </c>
      <c r="B329" t="inlineStr">
        <is>
          <t>CUHSL</t>
        </is>
      </c>
      <c r="C329" t="inlineStr">
        <is>
          <t>SHELVES</t>
        </is>
      </c>
      <c r="D329" t="inlineStr">
        <is>
          <t>W 33 AC2 P115c 2004</t>
        </is>
      </c>
      <c r="E329" t="inlineStr">
        <is>
          <t>0                      W  0033000AC 2                  P  115c        2004</t>
        </is>
      </c>
      <c r="F329" t="inlineStr">
        <is>
          <t>Capping non-economic awards in medical malpractice trials : California jury verdicts under MICRA / Nicholas M. Pace, Daniela Golinelli, Laura Zakaras.</t>
        </is>
      </c>
      <c r="H329" t="inlineStr">
        <is>
          <t>No</t>
        </is>
      </c>
      <c r="I329" t="inlineStr">
        <is>
          <t>1</t>
        </is>
      </c>
      <c r="J329" t="inlineStr">
        <is>
          <t>No</t>
        </is>
      </c>
      <c r="K329" t="inlineStr">
        <is>
          <t>No</t>
        </is>
      </c>
      <c r="L329" t="inlineStr">
        <is>
          <t>0</t>
        </is>
      </c>
      <c r="M329" t="inlineStr">
        <is>
          <t>Pace, Nicholas M. (Nicholas Michael), 1955-</t>
        </is>
      </c>
      <c r="N329" t="inlineStr">
        <is>
          <t>Santa Monica, CA : RAND Institute for Civil Justice, c2004.</t>
        </is>
      </c>
      <c r="O329" t="inlineStr">
        <is>
          <t>2004</t>
        </is>
      </c>
      <c r="Q329" t="inlineStr">
        <is>
          <t>eng</t>
        </is>
      </c>
      <c r="R329" t="inlineStr">
        <is>
          <t>cau</t>
        </is>
      </c>
      <c r="S329" t="inlineStr">
        <is>
          <t>Rand Corporation monograph series</t>
        </is>
      </c>
      <c r="T329" t="inlineStr">
        <is>
          <t xml:space="preserve">W  </t>
        </is>
      </c>
      <c r="U329" t="n">
        <v>0</v>
      </c>
      <c r="V329" t="n">
        <v>0</v>
      </c>
      <c r="W329" t="inlineStr">
        <is>
          <t>2005-07-17</t>
        </is>
      </c>
      <c r="X329" t="inlineStr">
        <is>
          <t>2005-07-17</t>
        </is>
      </c>
      <c r="Y329" t="inlineStr">
        <is>
          <t>2005-07-14</t>
        </is>
      </c>
      <c r="Z329" t="inlineStr">
        <is>
          <t>2005-07-14</t>
        </is>
      </c>
      <c r="AA329" t="n">
        <v>200</v>
      </c>
      <c r="AB329" t="n">
        <v>186</v>
      </c>
      <c r="AC329" t="n">
        <v>192</v>
      </c>
      <c r="AD329" t="n">
        <v>2</v>
      </c>
      <c r="AE329" t="n">
        <v>2</v>
      </c>
      <c r="AF329" t="n">
        <v>11</v>
      </c>
      <c r="AG329" t="n">
        <v>11</v>
      </c>
      <c r="AH329" t="n">
        <v>1</v>
      </c>
      <c r="AI329" t="n">
        <v>1</v>
      </c>
      <c r="AJ329" t="n">
        <v>0</v>
      </c>
      <c r="AK329" t="n">
        <v>0</v>
      </c>
      <c r="AL329" t="n">
        <v>1</v>
      </c>
      <c r="AM329" t="n">
        <v>1</v>
      </c>
      <c r="AN329" t="n">
        <v>1</v>
      </c>
      <c r="AO329" t="n">
        <v>1</v>
      </c>
      <c r="AP329" t="n">
        <v>8</v>
      </c>
      <c r="AQ329" t="n">
        <v>8</v>
      </c>
      <c r="AR329" t="inlineStr">
        <is>
          <t>No</t>
        </is>
      </c>
      <c r="AS329" t="inlineStr">
        <is>
          <t>No</t>
        </is>
      </c>
      <c r="AU329">
        <f>HYPERLINK("https://creighton-primo.hosted.exlibrisgroup.com/primo-explore/search?tab=default_tab&amp;search_scope=EVERYTHING&amp;vid=01CRU&amp;lang=en_US&amp;offset=0&amp;query=any,contains,991000441349702656","Catalog Record")</f>
        <v/>
      </c>
      <c r="AV329">
        <f>HYPERLINK("http://www.worldcat.org/oclc/56013068","WorldCat Record")</f>
        <v/>
      </c>
      <c r="AW329" t="inlineStr">
        <is>
          <t>113869056:eng</t>
        </is>
      </c>
      <c r="AX329" t="inlineStr">
        <is>
          <t>56013068</t>
        </is>
      </c>
      <c r="AY329" t="inlineStr">
        <is>
          <t>991000441349702656</t>
        </is>
      </c>
      <c r="AZ329" t="inlineStr">
        <is>
          <t>991000441349702656</t>
        </is>
      </c>
      <c r="BA329" t="inlineStr">
        <is>
          <t>2256867240002656</t>
        </is>
      </c>
      <c r="BB329" t="inlineStr">
        <is>
          <t>BOOK</t>
        </is>
      </c>
      <c r="BD329" t="inlineStr">
        <is>
          <t>9780833036650</t>
        </is>
      </c>
      <c r="BE329" t="inlineStr">
        <is>
          <t>30001005000577</t>
        </is>
      </c>
      <c r="BF329" t="inlineStr">
        <is>
          <t>893461497</t>
        </is>
      </c>
    </row>
    <row r="330">
      <c r="A330" t="inlineStr">
        <is>
          <t>No</t>
        </is>
      </c>
      <c r="B330" t="inlineStr">
        <is>
          <t>CUHSL</t>
        </is>
      </c>
      <c r="C330" t="inlineStr">
        <is>
          <t>SHELVES</t>
        </is>
      </c>
      <c r="D330" t="inlineStr">
        <is>
          <t>W 33.1 M489 1998</t>
        </is>
      </c>
      <c r="E330" t="inlineStr">
        <is>
          <t>0                      W  0033100M  489         1998</t>
        </is>
      </c>
      <c r="F330" t="inlineStr">
        <is>
          <t>Medical professional liability insurance : the informed physician's guide to coverage decisions / American Medical Association, Office of the General Counsel, Division of Health Law.</t>
        </is>
      </c>
      <c r="H330" t="inlineStr">
        <is>
          <t>No</t>
        </is>
      </c>
      <c r="I330" t="inlineStr">
        <is>
          <t>1</t>
        </is>
      </c>
      <c r="J330" t="inlineStr">
        <is>
          <t>No</t>
        </is>
      </c>
      <c r="K330" t="inlineStr">
        <is>
          <t>No</t>
        </is>
      </c>
      <c r="L330" t="inlineStr">
        <is>
          <t>0</t>
        </is>
      </c>
      <c r="N330" t="inlineStr">
        <is>
          <t>[Chicago, IL] : American Medical Association, Office of the General Counsel, Division of health Law, c1998.</t>
        </is>
      </c>
      <c r="O330" t="inlineStr">
        <is>
          <t>1998</t>
        </is>
      </c>
      <c r="Q330" t="inlineStr">
        <is>
          <t>eng</t>
        </is>
      </c>
      <c r="R330" t="inlineStr">
        <is>
          <t>ilu</t>
        </is>
      </c>
      <c r="T330" t="inlineStr">
        <is>
          <t xml:space="preserve">W  </t>
        </is>
      </c>
      <c r="U330" t="n">
        <v>2</v>
      </c>
      <c r="V330" t="n">
        <v>2</v>
      </c>
      <c r="W330" t="inlineStr">
        <is>
          <t>2000-08-31</t>
        </is>
      </c>
      <c r="X330" t="inlineStr">
        <is>
          <t>2000-08-31</t>
        </is>
      </c>
      <c r="Y330" t="inlineStr">
        <is>
          <t>1998-04-21</t>
        </is>
      </c>
      <c r="Z330" t="inlineStr">
        <is>
          <t>1998-04-21</t>
        </is>
      </c>
      <c r="AA330" t="n">
        <v>44</v>
      </c>
      <c r="AB330" t="n">
        <v>42</v>
      </c>
      <c r="AC330" t="n">
        <v>44</v>
      </c>
      <c r="AD330" t="n">
        <v>1</v>
      </c>
      <c r="AE330" t="n">
        <v>1</v>
      </c>
      <c r="AF330" t="n">
        <v>5</v>
      </c>
      <c r="AG330" t="n">
        <v>5</v>
      </c>
      <c r="AH330" t="n">
        <v>1</v>
      </c>
      <c r="AI330" t="n">
        <v>1</v>
      </c>
      <c r="AJ330" t="n">
        <v>0</v>
      </c>
      <c r="AK330" t="n">
        <v>0</v>
      </c>
      <c r="AL330" t="n">
        <v>0</v>
      </c>
      <c r="AM330" t="n">
        <v>0</v>
      </c>
      <c r="AN330" t="n">
        <v>0</v>
      </c>
      <c r="AO330" t="n">
        <v>0</v>
      </c>
      <c r="AP330" t="n">
        <v>4</v>
      </c>
      <c r="AQ330" t="n">
        <v>4</v>
      </c>
      <c r="AR330" t="inlineStr">
        <is>
          <t>No</t>
        </is>
      </c>
      <c r="AS330" t="inlineStr">
        <is>
          <t>Yes</t>
        </is>
      </c>
      <c r="AT330">
        <f>HYPERLINK("http://catalog.hathitrust.org/Record/003957685","HathiTrust Record")</f>
        <v/>
      </c>
      <c r="AU330">
        <f>HYPERLINK("https://creighton-primo.hosted.exlibrisgroup.com/primo-explore/search?tab=default_tab&amp;search_scope=EVERYTHING&amp;vid=01CRU&amp;lang=en_US&amp;offset=0&amp;query=any,contains,991001429439702656","Catalog Record")</f>
        <v/>
      </c>
      <c r="AV330">
        <f>HYPERLINK("http://www.worldcat.org/oclc/38541061","WorldCat Record")</f>
        <v/>
      </c>
      <c r="AW330" t="inlineStr">
        <is>
          <t>42460817:eng</t>
        </is>
      </c>
      <c r="AX330" t="inlineStr">
        <is>
          <t>38541061</t>
        </is>
      </c>
      <c r="AY330" t="inlineStr">
        <is>
          <t>991001429439702656</t>
        </is>
      </c>
      <c r="AZ330" t="inlineStr">
        <is>
          <t>991001429439702656</t>
        </is>
      </c>
      <c r="BA330" t="inlineStr">
        <is>
          <t>2260682780002656</t>
        </is>
      </c>
      <c r="BB330" t="inlineStr">
        <is>
          <t>BOOK</t>
        </is>
      </c>
      <c r="BD330" t="inlineStr">
        <is>
          <t>9780899709062</t>
        </is>
      </c>
      <c r="BE330" t="inlineStr">
        <is>
          <t>30001003864412</t>
        </is>
      </c>
      <c r="BF330" t="inlineStr">
        <is>
          <t>893274145</t>
        </is>
      </c>
    </row>
    <row r="331">
      <c r="A331" t="inlineStr">
        <is>
          <t>No</t>
        </is>
      </c>
      <c r="B331" t="inlineStr">
        <is>
          <t>CUHSL</t>
        </is>
      </c>
      <c r="C331" t="inlineStr">
        <is>
          <t>SHELVES</t>
        </is>
      </c>
      <c r="D331" t="inlineStr">
        <is>
          <t>W39 A512c 2002</t>
        </is>
      </c>
      <c r="E331" t="inlineStr">
        <is>
          <t>0                      W  0039000A  512c        2002</t>
        </is>
      </c>
      <c r="F331" t="inlineStr">
        <is>
          <t>Code of medical ethics : current opinions with annotations / American Medical Association, Council on Ethical and Judicial Affairs ; annotations prepared by the Southern Illinois University Schools of Medicine and Law.</t>
        </is>
      </c>
      <c r="H331" t="inlineStr">
        <is>
          <t>No</t>
        </is>
      </c>
      <c r="I331" t="inlineStr">
        <is>
          <t>1</t>
        </is>
      </c>
      <c r="J331" t="inlineStr">
        <is>
          <t>No</t>
        </is>
      </c>
      <c r="K331" t="inlineStr">
        <is>
          <t>Yes</t>
        </is>
      </c>
      <c r="L331" t="inlineStr">
        <is>
          <t>0</t>
        </is>
      </c>
      <c r="M331" t="inlineStr">
        <is>
          <t>American Medical Association. Council on Ethical and Judicial Affairs.</t>
        </is>
      </c>
      <c r="N331" t="inlineStr">
        <is>
          <t>[Chicago, Ill.] : AMA Press, c2002</t>
        </is>
      </c>
      <c r="O331" t="inlineStr">
        <is>
          <t>2002</t>
        </is>
      </c>
      <c r="P331" t="inlineStr">
        <is>
          <t>2002-2003 ed.</t>
        </is>
      </c>
      <c r="Q331" t="inlineStr">
        <is>
          <t>eng</t>
        </is>
      </c>
      <c r="R331" t="inlineStr">
        <is>
          <t>ilu</t>
        </is>
      </c>
      <c r="T331" t="inlineStr">
        <is>
          <t xml:space="preserve">W  </t>
        </is>
      </c>
      <c r="U331" t="n">
        <v>5</v>
      </c>
      <c r="V331" t="n">
        <v>5</v>
      </c>
      <c r="W331" t="inlineStr">
        <is>
          <t>2004-02-27</t>
        </is>
      </c>
      <c r="X331" t="inlineStr">
        <is>
          <t>2004-02-27</t>
        </is>
      </c>
      <c r="Y331" t="inlineStr">
        <is>
          <t>2002-11-08</t>
        </is>
      </c>
      <c r="Z331" t="inlineStr">
        <is>
          <t>2002-11-08</t>
        </is>
      </c>
      <c r="AA331" t="n">
        <v>140</v>
      </c>
      <c r="AB331" t="n">
        <v>127</v>
      </c>
      <c r="AC331" t="n">
        <v>512</v>
      </c>
      <c r="AD331" t="n">
        <v>1</v>
      </c>
      <c r="AE331" t="n">
        <v>4</v>
      </c>
      <c r="AF331" t="n">
        <v>4</v>
      </c>
      <c r="AG331" t="n">
        <v>19</v>
      </c>
      <c r="AH331" t="n">
        <v>1</v>
      </c>
      <c r="AI331" t="n">
        <v>4</v>
      </c>
      <c r="AJ331" t="n">
        <v>1</v>
      </c>
      <c r="AK331" t="n">
        <v>4</v>
      </c>
      <c r="AL331" t="n">
        <v>2</v>
      </c>
      <c r="AM331" t="n">
        <v>6</v>
      </c>
      <c r="AN331" t="n">
        <v>0</v>
      </c>
      <c r="AO331" t="n">
        <v>2</v>
      </c>
      <c r="AP331" t="n">
        <v>2</v>
      </c>
      <c r="AQ331" t="n">
        <v>6</v>
      </c>
      <c r="AR331" t="inlineStr">
        <is>
          <t>No</t>
        </is>
      </c>
      <c r="AS331" t="inlineStr">
        <is>
          <t>No</t>
        </is>
      </c>
      <c r="AU331">
        <f>HYPERLINK("https://creighton-primo.hosted.exlibrisgroup.com/primo-explore/search?tab=default_tab&amp;search_scope=EVERYTHING&amp;vid=01CRU&amp;lang=en_US&amp;offset=0&amp;query=any,contains,991000332319702656","Catalog Record")</f>
        <v/>
      </c>
      <c r="AV331">
        <f>HYPERLINK("http://www.worldcat.org/oclc/50442133","WorldCat Record")</f>
        <v/>
      </c>
      <c r="AW331" t="inlineStr">
        <is>
          <t>1055983:eng</t>
        </is>
      </c>
      <c r="AX331" t="inlineStr">
        <is>
          <t>50442133</t>
        </is>
      </c>
      <c r="AY331" t="inlineStr">
        <is>
          <t>991000332319702656</t>
        </is>
      </c>
      <c r="AZ331" t="inlineStr">
        <is>
          <t>991000332319702656</t>
        </is>
      </c>
      <c r="BA331" t="inlineStr">
        <is>
          <t>2259309190002656</t>
        </is>
      </c>
      <c r="BB331" t="inlineStr">
        <is>
          <t>BOOK</t>
        </is>
      </c>
      <c r="BD331" t="inlineStr">
        <is>
          <t>9781579472856</t>
        </is>
      </c>
      <c r="BE331" t="inlineStr">
        <is>
          <t>30001004500338</t>
        </is>
      </c>
      <c r="BF331" t="inlineStr">
        <is>
          <t>893264133</t>
        </is>
      </c>
    </row>
    <row r="332">
      <c r="A332" t="inlineStr">
        <is>
          <t>No</t>
        </is>
      </c>
      <c r="B332" t="inlineStr">
        <is>
          <t>CUHSL</t>
        </is>
      </c>
      <c r="C332" t="inlineStr">
        <is>
          <t>SHELVES</t>
        </is>
      </c>
      <c r="D332" t="inlineStr">
        <is>
          <t>W39 A512c 2004</t>
        </is>
      </c>
      <c r="E332" t="inlineStr">
        <is>
          <t>0                      W  0039000A  512c        2004</t>
        </is>
      </c>
      <c r="F332" t="inlineStr">
        <is>
          <t>Code of medical ethics : current opinions with annotations / American Medical Association, Council on Ethical and Judicial Affairs ; annotations prepared by the Southern Illinois University Schools of Medicine and Law.</t>
        </is>
      </c>
      <c r="H332" t="inlineStr">
        <is>
          <t>No</t>
        </is>
      </c>
      <c r="I332" t="inlineStr">
        <is>
          <t>1</t>
        </is>
      </c>
      <c r="J332" t="inlineStr">
        <is>
          <t>No</t>
        </is>
      </c>
      <c r="K332" t="inlineStr">
        <is>
          <t>Yes</t>
        </is>
      </c>
      <c r="L332" t="inlineStr">
        <is>
          <t>0</t>
        </is>
      </c>
      <c r="M332" t="inlineStr">
        <is>
          <t>American Medical Association. Council on Ethical and Judicial Affairs.</t>
        </is>
      </c>
      <c r="N332" t="inlineStr">
        <is>
          <t>Chicago, Ill. : AMA Press, c2004.</t>
        </is>
      </c>
      <c r="O332" t="inlineStr">
        <is>
          <t>2004</t>
        </is>
      </c>
      <c r="P332" t="inlineStr">
        <is>
          <t>2004-2005 ed.</t>
        </is>
      </c>
      <c r="Q332" t="inlineStr">
        <is>
          <t>eng</t>
        </is>
      </c>
      <c r="R332" t="inlineStr">
        <is>
          <t>ilu</t>
        </is>
      </c>
      <c r="T332" t="inlineStr">
        <is>
          <t xml:space="preserve">W  </t>
        </is>
      </c>
      <c r="U332" t="n">
        <v>3</v>
      </c>
      <c r="V332" t="n">
        <v>3</v>
      </c>
      <c r="W332" t="inlineStr">
        <is>
          <t>2009-06-03</t>
        </is>
      </c>
      <c r="X332" t="inlineStr">
        <is>
          <t>2009-06-03</t>
        </is>
      </c>
      <c r="Y332" t="inlineStr">
        <is>
          <t>2004-10-15</t>
        </is>
      </c>
      <c r="Z332" t="inlineStr">
        <is>
          <t>2004-10-15</t>
        </is>
      </c>
      <c r="AA332" t="n">
        <v>166</v>
      </c>
      <c r="AB332" t="n">
        <v>154</v>
      </c>
      <c r="AC332" t="n">
        <v>512</v>
      </c>
      <c r="AD332" t="n">
        <v>2</v>
      </c>
      <c r="AE332" t="n">
        <v>4</v>
      </c>
      <c r="AF332" t="n">
        <v>9</v>
      </c>
      <c r="AG332" t="n">
        <v>19</v>
      </c>
      <c r="AH332" t="n">
        <v>1</v>
      </c>
      <c r="AI332" t="n">
        <v>4</v>
      </c>
      <c r="AJ332" t="n">
        <v>2</v>
      </c>
      <c r="AK332" t="n">
        <v>4</v>
      </c>
      <c r="AL332" t="n">
        <v>3</v>
      </c>
      <c r="AM332" t="n">
        <v>6</v>
      </c>
      <c r="AN332" t="n">
        <v>1</v>
      </c>
      <c r="AO332" t="n">
        <v>2</v>
      </c>
      <c r="AP332" t="n">
        <v>2</v>
      </c>
      <c r="AQ332" t="n">
        <v>6</v>
      </c>
      <c r="AR332" t="inlineStr">
        <is>
          <t>No</t>
        </is>
      </c>
      <c r="AS332" t="inlineStr">
        <is>
          <t>No</t>
        </is>
      </c>
      <c r="AU332">
        <f>HYPERLINK("https://creighton-primo.hosted.exlibrisgroup.com/primo-explore/search?tab=default_tab&amp;search_scope=EVERYTHING&amp;vid=01CRU&amp;lang=en_US&amp;offset=0&amp;query=any,contains,991000400989702656","Catalog Record")</f>
        <v/>
      </c>
      <c r="AV332">
        <f>HYPERLINK("http://www.worldcat.org/oclc/56335718","WorldCat Record")</f>
        <v/>
      </c>
      <c r="AW332" t="inlineStr">
        <is>
          <t>1055983:eng</t>
        </is>
      </c>
      <c r="AX332" t="inlineStr">
        <is>
          <t>56335718</t>
        </is>
      </c>
      <c r="AY332" t="inlineStr">
        <is>
          <t>991000400989702656</t>
        </is>
      </c>
      <c r="AZ332" t="inlineStr">
        <is>
          <t>991000400989702656</t>
        </is>
      </c>
      <c r="BA332" t="inlineStr">
        <is>
          <t>2265389690002656</t>
        </is>
      </c>
      <c r="BB332" t="inlineStr">
        <is>
          <t>BOOK</t>
        </is>
      </c>
      <c r="BE332" t="inlineStr">
        <is>
          <t>30001004924041</t>
        </is>
      </c>
      <c r="BF332" t="inlineStr">
        <is>
          <t>893447269</t>
        </is>
      </c>
    </row>
    <row r="333">
      <c r="A333" t="inlineStr">
        <is>
          <t>No</t>
        </is>
      </c>
      <c r="B333" t="inlineStr">
        <is>
          <t>CUHSL</t>
        </is>
      </c>
      <c r="C333" t="inlineStr">
        <is>
          <t>SHELVES</t>
        </is>
      </c>
      <c r="D333" t="inlineStr">
        <is>
          <t>W 39 F712i 1997</t>
        </is>
      </c>
      <c r="E333" t="inlineStr">
        <is>
          <t>0                      W  0039000F  712i        1997</t>
        </is>
      </c>
      <c r="F333" t="inlineStr">
        <is>
          <t>Insurance handbook for the medical office / Marilyn Takahashi Fordney.</t>
        </is>
      </c>
      <c r="H333" t="inlineStr">
        <is>
          <t>No</t>
        </is>
      </c>
      <c r="I333" t="inlineStr">
        <is>
          <t>1</t>
        </is>
      </c>
      <c r="J333" t="inlineStr">
        <is>
          <t>No</t>
        </is>
      </c>
      <c r="K333" t="inlineStr">
        <is>
          <t>No</t>
        </is>
      </c>
      <c r="L333" t="inlineStr">
        <is>
          <t>0</t>
        </is>
      </c>
      <c r="M333" t="inlineStr">
        <is>
          <t>Fordney, Marilyn Takahashi.</t>
        </is>
      </c>
      <c r="N333" t="inlineStr">
        <is>
          <t>Philadelphia : W.B. Saunders, c1997.</t>
        </is>
      </c>
      <c r="O333" t="inlineStr">
        <is>
          <t>1997</t>
        </is>
      </c>
      <c r="P333" t="inlineStr">
        <is>
          <t>5th ed.</t>
        </is>
      </c>
      <c r="Q333" t="inlineStr">
        <is>
          <t>eng</t>
        </is>
      </c>
      <c r="R333" t="inlineStr">
        <is>
          <t>pau</t>
        </is>
      </c>
      <c r="T333" t="inlineStr">
        <is>
          <t xml:space="preserve">W  </t>
        </is>
      </c>
      <c r="U333" t="n">
        <v>2</v>
      </c>
      <c r="V333" t="n">
        <v>2</v>
      </c>
      <c r="W333" t="inlineStr">
        <is>
          <t>2001-06-14</t>
        </is>
      </c>
      <c r="X333" t="inlineStr">
        <is>
          <t>2001-06-14</t>
        </is>
      </c>
      <c r="Y333" t="inlineStr">
        <is>
          <t>1997-06-30</t>
        </is>
      </c>
      <c r="Z333" t="inlineStr">
        <is>
          <t>1997-06-30</t>
        </is>
      </c>
      <c r="AA333" t="n">
        <v>64</v>
      </c>
      <c r="AB333" t="n">
        <v>56</v>
      </c>
      <c r="AC333" t="n">
        <v>553</v>
      </c>
      <c r="AD333" t="n">
        <v>1</v>
      </c>
      <c r="AE333" t="n">
        <v>2</v>
      </c>
      <c r="AF333" t="n">
        <v>0</v>
      </c>
      <c r="AG333" t="n">
        <v>1</v>
      </c>
      <c r="AH333" t="n">
        <v>0</v>
      </c>
      <c r="AI333" t="n">
        <v>0</v>
      </c>
      <c r="AJ333" t="n">
        <v>0</v>
      </c>
      <c r="AK333" t="n">
        <v>0</v>
      </c>
      <c r="AL333" t="n">
        <v>0</v>
      </c>
      <c r="AM333" t="n">
        <v>0</v>
      </c>
      <c r="AN333" t="n">
        <v>0</v>
      </c>
      <c r="AO333" t="n">
        <v>1</v>
      </c>
      <c r="AP333" t="n">
        <v>0</v>
      </c>
      <c r="AQ333" t="n">
        <v>0</v>
      </c>
      <c r="AR333" t="inlineStr">
        <is>
          <t>No</t>
        </is>
      </c>
      <c r="AS333" t="inlineStr">
        <is>
          <t>Yes</t>
        </is>
      </c>
      <c r="AT333">
        <f>HYPERLINK("http://catalog.hathitrust.org/Record/010377062","HathiTrust Record")</f>
        <v/>
      </c>
      <c r="AU333">
        <f>HYPERLINK("https://creighton-primo.hosted.exlibrisgroup.com/primo-explore/search?tab=default_tab&amp;search_scope=EVERYTHING&amp;vid=01CRU&amp;lang=en_US&amp;offset=0&amp;query=any,contains,991001560579702656","Catalog Record")</f>
        <v/>
      </c>
      <c r="AV333">
        <f>HYPERLINK("http://www.worldcat.org/oclc/35876789","WorldCat Record")</f>
        <v/>
      </c>
      <c r="AW333" t="inlineStr">
        <is>
          <t>318319:eng</t>
        </is>
      </c>
      <c r="AX333" t="inlineStr">
        <is>
          <t>35876789</t>
        </is>
      </c>
      <c r="AY333" t="inlineStr">
        <is>
          <t>991001560579702656</t>
        </is>
      </c>
      <c r="AZ333" t="inlineStr">
        <is>
          <t>991001560579702656</t>
        </is>
      </c>
      <c r="BA333" t="inlineStr">
        <is>
          <t>2267790190002656</t>
        </is>
      </c>
      <c r="BB333" t="inlineStr">
        <is>
          <t>BOOK</t>
        </is>
      </c>
      <c r="BD333" t="inlineStr">
        <is>
          <t>9780721669878</t>
        </is>
      </c>
      <c r="BE333" t="inlineStr">
        <is>
          <t>30001003670694</t>
        </is>
      </c>
      <c r="BF333" t="inlineStr">
        <is>
          <t>893134715</t>
        </is>
      </c>
    </row>
    <row r="334">
      <c r="A334" t="inlineStr">
        <is>
          <t>No</t>
        </is>
      </c>
      <c r="B334" t="inlineStr">
        <is>
          <t>CUHSL</t>
        </is>
      </c>
      <c r="C334" t="inlineStr">
        <is>
          <t>SHELVES</t>
        </is>
      </c>
      <c r="D334" t="inlineStr">
        <is>
          <t>W 40 AA1 R344 1997</t>
        </is>
      </c>
      <c r="E334" t="inlineStr">
        <is>
          <t>0                      W  0040000AA 1                  R  344         1997</t>
        </is>
      </c>
      <c r="F334" t="inlineStr">
        <is>
          <t>Regulation of the healthcare professions / [edited by] Timothy S. Jost.</t>
        </is>
      </c>
      <c r="H334" t="inlineStr">
        <is>
          <t>No</t>
        </is>
      </c>
      <c r="I334" t="inlineStr">
        <is>
          <t>1</t>
        </is>
      </c>
      <c r="J334" t="inlineStr">
        <is>
          <t>No</t>
        </is>
      </c>
      <c r="K334" t="inlineStr">
        <is>
          <t>No</t>
        </is>
      </c>
      <c r="L334" t="inlineStr">
        <is>
          <t>0</t>
        </is>
      </c>
      <c r="N334" t="inlineStr">
        <is>
          <t>Chicago, IL : Health Administration Press, c1997.</t>
        </is>
      </c>
      <c r="O334" t="inlineStr">
        <is>
          <t>1997</t>
        </is>
      </c>
      <c r="Q334" t="inlineStr">
        <is>
          <t>eng</t>
        </is>
      </c>
      <c r="R334" t="inlineStr">
        <is>
          <t>ilu</t>
        </is>
      </c>
      <c r="T334" t="inlineStr">
        <is>
          <t xml:space="preserve">W  </t>
        </is>
      </c>
      <c r="U334" t="n">
        <v>0</v>
      </c>
      <c r="V334" t="n">
        <v>0</v>
      </c>
      <c r="W334" t="inlineStr">
        <is>
          <t>2004-08-31</t>
        </is>
      </c>
      <c r="X334" t="inlineStr">
        <is>
          <t>2004-08-31</t>
        </is>
      </c>
      <c r="Y334" t="inlineStr">
        <is>
          <t>2004-08-31</t>
        </is>
      </c>
      <c r="Z334" t="inlineStr">
        <is>
          <t>2004-08-31</t>
        </is>
      </c>
      <c r="AA334" t="n">
        <v>159</v>
      </c>
      <c r="AB334" t="n">
        <v>154</v>
      </c>
      <c r="AC334" t="n">
        <v>156</v>
      </c>
      <c r="AD334" t="n">
        <v>1</v>
      </c>
      <c r="AE334" t="n">
        <v>1</v>
      </c>
      <c r="AF334" t="n">
        <v>12</v>
      </c>
      <c r="AG334" t="n">
        <v>12</v>
      </c>
      <c r="AH334" t="n">
        <v>1</v>
      </c>
      <c r="AI334" t="n">
        <v>1</v>
      </c>
      <c r="AJ334" t="n">
        <v>3</v>
      </c>
      <c r="AK334" t="n">
        <v>3</v>
      </c>
      <c r="AL334" t="n">
        <v>3</v>
      </c>
      <c r="AM334" t="n">
        <v>3</v>
      </c>
      <c r="AN334" t="n">
        <v>0</v>
      </c>
      <c r="AO334" t="n">
        <v>0</v>
      </c>
      <c r="AP334" t="n">
        <v>8</v>
      </c>
      <c r="AQ334" t="n">
        <v>8</v>
      </c>
      <c r="AR334" t="inlineStr">
        <is>
          <t>No</t>
        </is>
      </c>
      <c r="AS334" t="inlineStr">
        <is>
          <t>Yes</t>
        </is>
      </c>
      <c r="AT334">
        <f>HYPERLINK("http://catalog.hathitrust.org/Record/004540016","HathiTrust Record")</f>
        <v/>
      </c>
      <c r="AU334">
        <f>HYPERLINK("https://creighton-primo.hosted.exlibrisgroup.com/primo-explore/search?tab=default_tab&amp;search_scope=EVERYTHING&amp;vid=01CRU&amp;lang=en_US&amp;offset=0&amp;query=any,contains,991000381319702656","Catalog Record")</f>
        <v/>
      </c>
      <c r="AV334">
        <f>HYPERLINK("http://www.worldcat.org/oclc/36589934","WorldCat Record")</f>
        <v/>
      </c>
      <c r="AW334" t="inlineStr">
        <is>
          <t>679721:eng</t>
        </is>
      </c>
      <c r="AX334" t="inlineStr">
        <is>
          <t>36589934</t>
        </is>
      </c>
      <c r="AY334" t="inlineStr">
        <is>
          <t>991000381319702656</t>
        </is>
      </c>
      <c r="AZ334" t="inlineStr">
        <is>
          <t>991000381319702656</t>
        </is>
      </c>
      <c r="BA334" t="inlineStr">
        <is>
          <t>2266386360002656</t>
        </is>
      </c>
      <c r="BB334" t="inlineStr">
        <is>
          <t>BOOK</t>
        </is>
      </c>
      <c r="BD334" t="inlineStr">
        <is>
          <t>9781567930580</t>
        </is>
      </c>
      <c r="BE334" t="inlineStr">
        <is>
          <t>30001004841252</t>
        </is>
      </c>
      <c r="BF334" t="inlineStr">
        <is>
          <t>893817062</t>
        </is>
      </c>
    </row>
    <row r="335">
      <c r="A335" t="inlineStr">
        <is>
          <t>No</t>
        </is>
      </c>
      <c r="B335" t="inlineStr">
        <is>
          <t>CUHSL</t>
        </is>
      </c>
      <c r="C335" t="inlineStr">
        <is>
          <t>SHELVES</t>
        </is>
      </c>
      <c r="D335" t="inlineStr">
        <is>
          <t>W40 AA1 U2512 2006</t>
        </is>
      </c>
      <c r="E335" t="inlineStr">
        <is>
          <t>0                      W  0040000AA 1                  U  2512        2006</t>
        </is>
      </c>
      <c r="F335" t="inlineStr">
        <is>
          <t>State Medical Licensure Requirements and Statistics</t>
        </is>
      </c>
      <c r="H335" t="inlineStr">
        <is>
          <t>No</t>
        </is>
      </c>
      <c r="I335" t="inlineStr">
        <is>
          <t>1</t>
        </is>
      </c>
      <c r="J335" t="inlineStr">
        <is>
          <t>No</t>
        </is>
      </c>
      <c r="K335" t="inlineStr">
        <is>
          <t>Yes</t>
        </is>
      </c>
      <c r="L335" t="inlineStr">
        <is>
          <t>0</t>
        </is>
      </c>
      <c r="M335" t="inlineStr">
        <is>
          <t>American Medical Association.</t>
        </is>
      </c>
      <c r="O335" t="inlineStr">
        <is>
          <t>2006</t>
        </is>
      </c>
      <c r="P335" t="inlineStr">
        <is>
          <t>2006 Edition</t>
        </is>
      </c>
      <c r="Q335" t="inlineStr">
        <is>
          <t>eng</t>
        </is>
      </c>
      <c r="R335" t="inlineStr">
        <is>
          <t>wiu</t>
        </is>
      </c>
      <c r="T335" t="inlineStr">
        <is>
          <t xml:space="preserve">W  </t>
        </is>
      </c>
      <c r="U335" t="n">
        <v>2</v>
      </c>
      <c r="V335" t="n">
        <v>2</v>
      </c>
      <c r="W335" t="inlineStr">
        <is>
          <t>2007-12-21</t>
        </is>
      </c>
      <c r="X335" t="inlineStr">
        <is>
          <t>2007-12-21</t>
        </is>
      </c>
      <c r="Y335" t="inlineStr">
        <is>
          <t>2005-12-22</t>
        </is>
      </c>
      <c r="Z335" t="inlineStr">
        <is>
          <t>2005-12-22</t>
        </is>
      </c>
      <c r="AA335" t="n">
        <v>3</v>
      </c>
      <c r="AB335" t="n">
        <v>3</v>
      </c>
      <c r="AC335" t="n">
        <v>45</v>
      </c>
      <c r="AD335" t="n">
        <v>1</v>
      </c>
      <c r="AE335" t="n">
        <v>1</v>
      </c>
      <c r="AF335" t="n">
        <v>0</v>
      </c>
      <c r="AG335" t="n">
        <v>0</v>
      </c>
      <c r="AH335" t="n">
        <v>0</v>
      </c>
      <c r="AI335" t="n">
        <v>0</v>
      </c>
      <c r="AJ335" t="n">
        <v>0</v>
      </c>
      <c r="AK335" t="n">
        <v>0</v>
      </c>
      <c r="AL335" t="n">
        <v>0</v>
      </c>
      <c r="AM335" t="n">
        <v>0</v>
      </c>
      <c r="AN335" t="n">
        <v>0</v>
      </c>
      <c r="AO335" t="n">
        <v>0</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HYPERLINK("https://creighton-primo.hosted.exlibrisgroup.com/primo-explore/search?tab=default_tab&amp;search_scope=EVERYTHING&amp;vid=01CRU&amp;lang=en_US&amp;offset=0&amp;query=any,contains,991000454319702656","Catalog Record")</f>
        <v/>
      </c>
      <c r="AV335">
        <f>HYPERLINK("http://www.worldcat.org/oclc/62321501","WorldCat Record")</f>
        <v/>
      </c>
      <c r="AW335" t="inlineStr">
        <is>
          <t>2865387110:eng</t>
        </is>
      </c>
      <c r="AX335" t="inlineStr">
        <is>
          <t>62321501</t>
        </is>
      </c>
      <c r="AY335" t="inlineStr">
        <is>
          <t>991000454319702656</t>
        </is>
      </c>
      <c r="AZ335" t="inlineStr">
        <is>
          <t>991000454319702656</t>
        </is>
      </c>
      <c r="BA335" t="inlineStr">
        <is>
          <t>2268449930002656</t>
        </is>
      </c>
      <c r="BB335" t="inlineStr">
        <is>
          <t>BOOK</t>
        </is>
      </c>
      <c r="BD335" t="inlineStr">
        <is>
          <t>9781579476816</t>
        </is>
      </c>
      <c r="BE335" t="inlineStr">
        <is>
          <t>30001004911642</t>
        </is>
      </c>
      <c r="BF335" t="inlineStr">
        <is>
          <t>893466276</t>
        </is>
      </c>
    </row>
    <row r="336">
      <c r="A336" t="inlineStr">
        <is>
          <t>No</t>
        </is>
      </c>
      <c r="B336" t="inlineStr">
        <is>
          <t>CUHSL</t>
        </is>
      </c>
      <c r="C336" t="inlineStr">
        <is>
          <t>SHELVES</t>
        </is>
      </c>
      <c r="D336" t="inlineStr">
        <is>
          <t>W 40.1 AA1 A512u 1991</t>
        </is>
      </c>
      <c r="E336" t="inlineStr">
        <is>
          <t>0                      W  0040100AA 1                  A  512u        1991</t>
        </is>
      </c>
      <c r="F336" t="inlineStr">
        <is>
          <t>U.S. medical licensure statistics and current licensure requirements / Catherine M. Bidese, editor.</t>
        </is>
      </c>
      <c r="H336" t="inlineStr">
        <is>
          <t>No</t>
        </is>
      </c>
      <c r="I336" t="inlineStr">
        <is>
          <t>1</t>
        </is>
      </c>
      <c r="J336" t="inlineStr">
        <is>
          <t>No</t>
        </is>
      </c>
      <c r="K336" t="inlineStr">
        <is>
          <t>Yes</t>
        </is>
      </c>
      <c r="L336" t="inlineStr">
        <is>
          <t>0</t>
        </is>
      </c>
      <c r="N336" t="inlineStr">
        <is>
          <t>Chicago, Ill. : American Medical Association, c1991.</t>
        </is>
      </c>
      <c r="O336" t="inlineStr">
        <is>
          <t>1991</t>
        </is>
      </c>
      <c r="P336" t="inlineStr">
        <is>
          <t>1991 ed.</t>
        </is>
      </c>
      <c r="Q336" t="inlineStr">
        <is>
          <t>eng</t>
        </is>
      </c>
      <c r="R336" t="inlineStr">
        <is>
          <t>ilu</t>
        </is>
      </c>
      <c r="T336" t="inlineStr">
        <is>
          <t xml:space="preserve">W  </t>
        </is>
      </c>
      <c r="U336" t="n">
        <v>2</v>
      </c>
      <c r="V336" t="n">
        <v>2</v>
      </c>
      <c r="W336" t="inlineStr">
        <is>
          <t>1991-06-27</t>
        </is>
      </c>
      <c r="X336" t="inlineStr">
        <is>
          <t>1991-06-27</t>
        </is>
      </c>
      <c r="Y336" t="inlineStr">
        <is>
          <t>1991-06-27</t>
        </is>
      </c>
      <c r="Z336" t="inlineStr">
        <is>
          <t>1991-06-27</t>
        </is>
      </c>
      <c r="AA336" t="n">
        <v>20</v>
      </c>
      <c r="AB336" t="n">
        <v>20</v>
      </c>
      <c r="AC336" t="n">
        <v>74</v>
      </c>
      <c r="AD336" t="n">
        <v>1</v>
      </c>
      <c r="AE336" t="n">
        <v>1</v>
      </c>
      <c r="AF336" t="n">
        <v>0</v>
      </c>
      <c r="AG336" t="n">
        <v>1</v>
      </c>
      <c r="AH336" t="n">
        <v>0</v>
      </c>
      <c r="AI336" t="n">
        <v>0</v>
      </c>
      <c r="AJ336" t="n">
        <v>0</v>
      </c>
      <c r="AK336" t="n">
        <v>0</v>
      </c>
      <c r="AL336" t="n">
        <v>0</v>
      </c>
      <c r="AM336" t="n">
        <v>0</v>
      </c>
      <c r="AN336" t="n">
        <v>0</v>
      </c>
      <c r="AO336" t="n">
        <v>0</v>
      </c>
      <c r="AP336" t="n">
        <v>0</v>
      </c>
      <c r="AQ336" t="n">
        <v>1</v>
      </c>
      <c r="AR336" t="inlineStr">
        <is>
          <t>No</t>
        </is>
      </c>
      <c r="AS336" t="inlineStr">
        <is>
          <t>No</t>
        </is>
      </c>
      <c r="AU336">
        <f>HYPERLINK("https://creighton-primo.hosted.exlibrisgroup.com/primo-explore/search?tab=default_tab&amp;search_scope=EVERYTHING&amp;vid=01CRU&amp;lang=en_US&amp;offset=0&amp;query=any,contains,991000940399702656","Catalog Record")</f>
        <v/>
      </c>
      <c r="AV336">
        <f>HYPERLINK("http://www.worldcat.org/oclc/23828613","WorldCat Record")</f>
        <v/>
      </c>
      <c r="AW336" t="inlineStr">
        <is>
          <t>433708152:eng</t>
        </is>
      </c>
      <c r="AX336" t="inlineStr">
        <is>
          <t>23828613</t>
        </is>
      </c>
      <c r="AY336" t="inlineStr">
        <is>
          <t>991000940399702656</t>
        </is>
      </c>
      <c r="AZ336" t="inlineStr">
        <is>
          <t>991000940399702656</t>
        </is>
      </c>
      <c r="BA336" t="inlineStr">
        <is>
          <t>2262905350002656</t>
        </is>
      </c>
      <c r="BB336" t="inlineStr">
        <is>
          <t>BOOK</t>
        </is>
      </c>
      <c r="BD336" t="inlineStr">
        <is>
          <t>9780899704128</t>
        </is>
      </c>
      <c r="BE336" t="inlineStr">
        <is>
          <t>30001002192500</t>
        </is>
      </c>
      <c r="BF336" t="inlineStr">
        <is>
          <t>893278506</t>
        </is>
      </c>
    </row>
    <row r="337">
      <c r="A337" t="inlineStr">
        <is>
          <t>No</t>
        </is>
      </c>
      <c r="B337" t="inlineStr">
        <is>
          <t>CUHSL</t>
        </is>
      </c>
      <c r="C337" t="inlineStr">
        <is>
          <t>SHELVES</t>
        </is>
      </c>
      <c r="D337" t="inlineStr">
        <is>
          <t>W 44 AA1 C568w 2005</t>
        </is>
      </c>
      <c r="E337" t="inlineStr">
        <is>
          <t>0                      W  0044000AA 1                  C  568w        2005</t>
        </is>
      </c>
      <c r="F337" t="inlineStr">
        <is>
          <t>Winning your malpractice case : practical advice for physician experts and defendants / James J. Cicero.</t>
        </is>
      </c>
      <c r="H337" t="inlineStr">
        <is>
          <t>No</t>
        </is>
      </c>
      <c r="I337" t="inlineStr">
        <is>
          <t>1</t>
        </is>
      </c>
      <c r="J337" t="inlineStr">
        <is>
          <t>No</t>
        </is>
      </c>
      <c r="K337" t="inlineStr">
        <is>
          <t>No</t>
        </is>
      </c>
      <c r="L337" t="inlineStr">
        <is>
          <t>0</t>
        </is>
      </c>
      <c r="M337" t="inlineStr">
        <is>
          <t>Cicero, James J.</t>
        </is>
      </c>
      <c r="N337" t="inlineStr">
        <is>
          <t>Marblehead, MA : HCPro, c2005.</t>
        </is>
      </c>
      <c r="O337" t="inlineStr">
        <is>
          <t>2005</t>
        </is>
      </c>
      <c r="Q337" t="inlineStr">
        <is>
          <t>eng</t>
        </is>
      </c>
      <c r="R337" t="inlineStr">
        <is>
          <t>mau</t>
        </is>
      </c>
      <c r="T337" t="inlineStr">
        <is>
          <t xml:space="preserve">W  </t>
        </is>
      </c>
      <c r="U337" t="n">
        <v>1</v>
      </c>
      <c r="V337" t="n">
        <v>1</v>
      </c>
      <c r="W337" t="inlineStr">
        <is>
          <t>2009-03-20</t>
        </is>
      </c>
      <c r="X337" t="inlineStr">
        <is>
          <t>2009-03-20</t>
        </is>
      </c>
      <c r="Y337" t="inlineStr">
        <is>
          <t>2006-09-07</t>
        </is>
      </c>
      <c r="Z337" t="inlineStr">
        <is>
          <t>2006-09-07</t>
        </is>
      </c>
      <c r="AA337" t="n">
        <v>8</v>
      </c>
      <c r="AB337" t="n">
        <v>7</v>
      </c>
      <c r="AC337" t="n">
        <v>7</v>
      </c>
      <c r="AD337" t="n">
        <v>1</v>
      </c>
      <c r="AE337" t="n">
        <v>1</v>
      </c>
      <c r="AF337" t="n">
        <v>0</v>
      </c>
      <c r="AG337" t="n">
        <v>0</v>
      </c>
      <c r="AH337" t="n">
        <v>0</v>
      </c>
      <c r="AI337" t="n">
        <v>0</v>
      </c>
      <c r="AJ337" t="n">
        <v>0</v>
      </c>
      <c r="AK337" t="n">
        <v>0</v>
      </c>
      <c r="AL337" t="n">
        <v>0</v>
      </c>
      <c r="AM337" t="n">
        <v>0</v>
      </c>
      <c r="AN337" t="n">
        <v>0</v>
      </c>
      <c r="AO337" t="n">
        <v>0</v>
      </c>
      <c r="AP337" t="n">
        <v>0</v>
      </c>
      <c r="AQ337" t="n">
        <v>0</v>
      </c>
      <c r="AR337" t="inlineStr">
        <is>
          <t>No</t>
        </is>
      </c>
      <c r="AS337" t="inlineStr">
        <is>
          <t>No</t>
        </is>
      </c>
      <c r="AU337">
        <f>HYPERLINK("https://creighton-primo.hosted.exlibrisgroup.com/primo-explore/search?tab=default_tab&amp;search_scope=EVERYTHING&amp;vid=01CRU&amp;lang=en_US&amp;offset=0&amp;query=any,contains,991000535579702656","Catalog Record")</f>
        <v/>
      </c>
      <c r="AV337">
        <f>HYPERLINK("http://www.worldcat.org/oclc/69333342","WorldCat Record")</f>
        <v/>
      </c>
      <c r="AW337" t="inlineStr">
        <is>
          <t>52752397:eng</t>
        </is>
      </c>
      <c r="AX337" t="inlineStr">
        <is>
          <t>69333342</t>
        </is>
      </c>
      <c r="AY337" t="inlineStr">
        <is>
          <t>991000535579702656</t>
        </is>
      </c>
      <c r="AZ337" t="inlineStr">
        <is>
          <t>991000535579702656</t>
        </is>
      </c>
      <c r="BA337" t="inlineStr">
        <is>
          <t>2261810740002656</t>
        </is>
      </c>
      <c r="BB337" t="inlineStr">
        <is>
          <t>BOOK</t>
        </is>
      </c>
      <c r="BD337" t="inlineStr">
        <is>
          <t>9781578397235</t>
        </is>
      </c>
      <c r="BE337" t="inlineStr">
        <is>
          <t>30001005127362</t>
        </is>
      </c>
      <c r="BF337" t="inlineStr">
        <is>
          <t>893157353</t>
        </is>
      </c>
    </row>
    <row r="338">
      <c r="A338" t="inlineStr">
        <is>
          <t>No</t>
        </is>
      </c>
      <c r="B338" t="inlineStr">
        <is>
          <t>CUHSL</t>
        </is>
      </c>
      <c r="C338" t="inlineStr">
        <is>
          <t>SHELVES</t>
        </is>
      </c>
      <c r="D338" t="inlineStr">
        <is>
          <t>W 44 AA1 M4888 2005</t>
        </is>
      </c>
      <c r="E338" t="inlineStr">
        <is>
          <t>0                      W  0044000AA 1                  M  4888        2005</t>
        </is>
      </c>
      <c r="F338" t="inlineStr">
        <is>
          <t>Medical malpractice : how to prevent and survive a suit / edited by Richard Nasca ... [et al.].</t>
        </is>
      </c>
      <c r="H338" t="inlineStr">
        <is>
          <t>No</t>
        </is>
      </c>
      <c r="I338" t="inlineStr">
        <is>
          <t>1</t>
        </is>
      </c>
      <c r="J338" t="inlineStr">
        <is>
          <t>No</t>
        </is>
      </c>
      <c r="K338" t="inlineStr">
        <is>
          <t>No</t>
        </is>
      </c>
      <c r="L338" t="inlineStr">
        <is>
          <t>0</t>
        </is>
      </c>
      <c r="N338" t="inlineStr">
        <is>
          <t>Brooklandville, Md. : Data Trace Pub. Co, c2005.</t>
        </is>
      </c>
      <c r="O338" t="inlineStr">
        <is>
          <t>2005</t>
        </is>
      </c>
      <c r="P338" t="inlineStr">
        <is>
          <t>1st ed.</t>
        </is>
      </c>
      <c r="Q338" t="inlineStr">
        <is>
          <t>eng</t>
        </is>
      </c>
      <c r="R338" t="inlineStr">
        <is>
          <t>mdu</t>
        </is>
      </c>
      <c r="T338" t="inlineStr">
        <is>
          <t xml:space="preserve">W  </t>
        </is>
      </c>
      <c r="U338" t="n">
        <v>2</v>
      </c>
      <c r="V338" t="n">
        <v>2</v>
      </c>
      <c r="W338" t="inlineStr">
        <is>
          <t>2009-04-01</t>
        </is>
      </c>
      <c r="X338" t="inlineStr">
        <is>
          <t>2009-04-01</t>
        </is>
      </c>
      <c r="Y338" t="inlineStr">
        <is>
          <t>2007-01-22</t>
        </is>
      </c>
      <c r="Z338" t="inlineStr">
        <is>
          <t>2007-01-22</t>
        </is>
      </c>
      <c r="AA338" t="n">
        <v>23</v>
      </c>
      <c r="AB338" t="n">
        <v>21</v>
      </c>
      <c r="AC338" t="n">
        <v>21</v>
      </c>
      <c r="AD338" t="n">
        <v>1</v>
      </c>
      <c r="AE338" t="n">
        <v>1</v>
      </c>
      <c r="AF338" t="n">
        <v>2</v>
      </c>
      <c r="AG338" t="n">
        <v>2</v>
      </c>
      <c r="AH338" t="n">
        <v>1</v>
      </c>
      <c r="AI338" t="n">
        <v>1</v>
      </c>
      <c r="AJ338" t="n">
        <v>0</v>
      </c>
      <c r="AK338" t="n">
        <v>0</v>
      </c>
      <c r="AL338" t="n">
        <v>0</v>
      </c>
      <c r="AM338" t="n">
        <v>0</v>
      </c>
      <c r="AN338" t="n">
        <v>0</v>
      </c>
      <c r="AO338" t="n">
        <v>0</v>
      </c>
      <c r="AP338" t="n">
        <v>1</v>
      </c>
      <c r="AQ338" t="n">
        <v>1</v>
      </c>
      <c r="AR338" t="inlineStr">
        <is>
          <t>No</t>
        </is>
      </c>
      <c r="AS338" t="inlineStr">
        <is>
          <t>No</t>
        </is>
      </c>
      <c r="AU338">
        <f>HYPERLINK("https://creighton-primo.hosted.exlibrisgroup.com/primo-explore/search?tab=default_tab&amp;search_scope=EVERYTHING&amp;vid=01CRU&amp;lang=en_US&amp;offset=0&amp;query=any,contains,991000584679702656","Catalog Record")</f>
        <v/>
      </c>
      <c r="AV338">
        <f>HYPERLINK("http://www.worldcat.org/oclc/57193112","WorldCat Record")</f>
        <v/>
      </c>
      <c r="AW338" t="inlineStr">
        <is>
          <t>18320184:eng</t>
        </is>
      </c>
      <c r="AX338" t="inlineStr">
        <is>
          <t>57193112</t>
        </is>
      </c>
      <c r="AY338" t="inlineStr">
        <is>
          <t>991000584679702656</t>
        </is>
      </c>
      <c r="AZ338" t="inlineStr">
        <is>
          <t>991000584679702656</t>
        </is>
      </c>
      <c r="BA338" t="inlineStr">
        <is>
          <t>2266039990002656</t>
        </is>
      </c>
      <c r="BB338" t="inlineStr">
        <is>
          <t>BOOK</t>
        </is>
      </c>
      <c r="BD338" t="inlineStr">
        <is>
          <t>9781574001020</t>
        </is>
      </c>
      <c r="BE338" t="inlineStr">
        <is>
          <t>30001005175296</t>
        </is>
      </c>
      <c r="BF338" t="inlineStr">
        <is>
          <t>893458926</t>
        </is>
      </c>
    </row>
    <row r="339">
      <c r="A339" t="inlineStr">
        <is>
          <t>No</t>
        </is>
      </c>
      <c r="B339" t="inlineStr">
        <is>
          <t>CUHSL</t>
        </is>
      </c>
      <c r="C339" t="inlineStr">
        <is>
          <t>SHELVES</t>
        </is>
      </c>
      <c r="D339" t="inlineStr">
        <is>
          <t>W44 AA1 S428h 1999</t>
        </is>
      </c>
      <c r="E339" t="inlineStr">
        <is>
          <t>0                      W  0044000AA 1                  S  428h        1999</t>
        </is>
      </c>
      <c r="F339" t="inlineStr">
        <is>
          <t>Health care malpractice : a primer on legal issues for professionals / Ronald W. Scott.</t>
        </is>
      </c>
      <c r="H339" t="inlineStr">
        <is>
          <t>No</t>
        </is>
      </c>
      <c r="I339" t="inlineStr">
        <is>
          <t>1</t>
        </is>
      </c>
      <c r="J339" t="inlineStr">
        <is>
          <t>No</t>
        </is>
      </c>
      <c r="K339" t="inlineStr">
        <is>
          <t>Yes</t>
        </is>
      </c>
      <c r="L339" t="inlineStr">
        <is>
          <t>0</t>
        </is>
      </c>
      <c r="M339" t="inlineStr">
        <is>
          <t>Scott, Ronald W.</t>
        </is>
      </c>
      <c r="N339" t="inlineStr">
        <is>
          <t>New York : McGraw-Hill, c1999.</t>
        </is>
      </c>
      <c r="O339" t="inlineStr">
        <is>
          <t>1999</t>
        </is>
      </c>
      <c r="P339" t="inlineStr">
        <is>
          <t>2nd ed.</t>
        </is>
      </c>
      <c r="Q339" t="inlineStr">
        <is>
          <t>eng</t>
        </is>
      </c>
      <c r="R339" t="inlineStr">
        <is>
          <t>nyu</t>
        </is>
      </c>
      <c r="T339" t="inlineStr">
        <is>
          <t xml:space="preserve">W  </t>
        </is>
      </c>
      <c r="U339" t="n">
        <v>1</v>
      </c>
      <c r="V339" t="n">
        <v>1</v>
      </c>
      <c r="W339" t="inlineStr">
        <is>
          <t>2002-12-10</t>
        </is>
      </c>
      <c r="X339" t="inlineStr">
        <is>
          <t>2002-12-10</t>
        </is>
      </c>
      <c r="Y339" t="inlineStr">
        <is>
          <t>2002-10-03</t>
        </is>
      </c>
      <c r="Z339" t="inlineStr">
        <is>
          <t>2002-10-03</t>
        </is>
      </c>
      <c r="AA339" t="n">
        <v>191</v>
      </c>
      <c r="AB339" t="n">
        <v>174</v>
      </c>
      <c r="AC339" t="n">
        <v>236</v>
      </c>
      <c r="AD339" t="n">
        <v>1</v>
      </c>
      <c r="AE339" t="n">
        <v>1</v>
      </c>
      <c r="AF339" t="n">
        <v>13</v>
      </c>
      <c r="AG339" t="n">
        <v>16</v>
      </c>
      <c r="AH339" t="n">
        <v>1</v>
      </c>
      <c r="AI339" t="n">
        <v>3</v>
      </c>
      <c r="AJ339" t="n">
        <v>2</v>
      </c>
      <c r="AK339" t="n">
        <v>2</v>
      </c>
      <c r="AL339" t="n">
        <v>6</v>
      </c>
      <c r="AM339" t="n">
        <v>7</v>
      </c>
      <c r="AN339" t="n">
        <v>0</v>
      </c>
      <c r="AO339" t="n">
        <v>0</v>
      </c>
      <c r="AP339" t="n">
        <v>6</v>
      </c>
      <c r="AQ339" t="n">
        <v>6</v>
      </c>
      <c r="AR339" t="inlineStr">
        <is>
          <t>No</t>
        </is>
      </c>
      <c r="AS339" t="inlineStr">
        <is>
          <t>No</t>
        </is>
      </c>
      <c r="AU339">
        <f>HYPERLINK("https://creighton-primo.hosted.exlibrisgroup.com/primo-explore/search?tab=default_tab&amp;search_scope=EVERYTHING&amp;vid=01CRU&amp;lang=en_US&amp;offset=0&amp;query=any,contains,991000329999702656","Catalog Record")</f>
        <v/>
      </c>
      <c r="AV339">
        <f>HYPERLINK("http://www.worldcat.org/oclc/39455945","WorldCat Record")</f>
        <v/>
      </c>
      <c r="AW339" t="inlineStr">
        <is>
          <t>815132691:eng</t>
        </is>
      </c>
      <c r="AX339" t="inlineStr">
        <is>
          <t>39455945</t>
        </is>
      </c>
      <c r="AY339" t="inlineStr">
        <is>
          <t>991000329999702656</t>
        </is>
      </c>
      <c r="AZ339" t="inlineStr">
        <is>
          <t>991000329999702656</t>
        </is>
      </c>
      <c r="BA339" t="inlineStr">
        <is>
          <t>2272809670002656</t>
        </is>
      </c>
      <c r="BB339" t="inlineStr">
        <is>
          <t>BOOK</t>
        </is>
      </c>
      <c r="BD339" t="inlineStr">
        <is>
          <t>9780070541450</t>
        </is>
      </c>
      <c r="BE339" t="inlineStr">
        <is>
          <t>30001004441012</t>
        </is>
      </c>
      <c r="BF339" t="inlineStr">
        <is>
          <t>893553429</t>
        </is>
      </c>
    </row>
    <row r="340">
      <c r="A340" t="inlineStr">
        <is>
          <t>No</t>
        </is>
      </c>
      <c r="B340" t="inlineStr">
        <is>
          <t>CUHSL</t>
        </is>
      </c>
      <c r="C340" t="inlineStr">
        <is>
          <t>SHELVES</t>
        </is>
      </c>
      <c r="D340" t="inlineStr">
        <is>
          <t>W 44 F532m 1985</t>
        </is>
      </c>
      <c r="E340" t="inlineStr">
        <is>
          <t>0                      W  0044000F  532m        1985</t>
        </is>
      </c>
      <c r="F340" t="inlineStr">
        <is>
          <t>Malpractice : managing your defense / Raymond M. Fish, Melvin E. Ehrhardt, Betty Fish.</t>
        </is>
      </c>
      <c r="H340" t="inlineStr">
        <is>
          <t>No</t>
        </is>
      </c>
      <c r="I340" t="inlineStr">
        <is>
          <t>1</t>
        </is>
      </c>
      <c r="J340" t="inlineStr">
        <is>
          <t>No</t>
        </is>
      </c>
      <c r="K340" t="inlineStr">
        <is>
          <t>No</t>
        </is>
      </c>
      <c r="L340" t="inlineStr">
        <is>
          <t>0</t>
        </is>
      </c>
      <c r="M340" t="inlineStr">
        <is>
          <t>Fish, Raymond M.</t>
        </is>
      </c>
      <c r="N340" t="inlineStr">
        <is>
          <t>Oradell, N.J. : Medical Economics Books, c1985.</t>
        </is>
      </c>
      <c r="O340" t="inlineStr">
        <is>
          <t>1985</t>
        </is>
      </c>
      <c r="Q340" t="inlineStr">
        <is>
          <t>eng</t>
        </is>
      </c>
      <c r="R340" t="inlineStr">
        <is>
          <t xml:space="preserve">aa </t>
        </is>
      </c>
      <c r="T340" t="inlineStr">
        <is>
          <t xml:space="preserve">W  </t>
        </is>
      </c>
      <c r="U340" t="n">
        <v>3</v>
      </c>
      <c r="V340" t="n">
        <v>3</v>
      </c>
      <c r="W340" t="inlineStr">
        <is>
          <t>1998-11-07</t>
        </is>
      </c>
      <c r="X340" t="inlineStr">
        <is>
          <t>1998-11-07</t>
        </is>
      </c>
      <c r="Y340" t="inlineStr">
        <is>
          <t>1989-07-16</t>
        </is>
      </c>
      <c r="Z340" t="inlineStr">
        <is>
          <t>1989-07-16</t>
        </is>
      </c>
      <c r="AA340" t="n">
        <v>203</v>
      </c>
      <c r="AB340" t="n">
        <v>197</v>
      </c>
      <c r="AC340" t="n">
        <v>235</v>
      </c>
      <c r="AD340" t="n">
        <v>2</v>
      </c>
      <c r="AE340" t="n">
        <v>2</v>
      </c>
      <c r="AF340" t="n">
        <v>11</v>
      </c>
      <c r="AG340" t="n">
        <v>14</v>
      </c>
      <c r="AH340" t="n">
        <v>2</v>
      </c>
      <c r="AI340" t="n">
        <v>2</v>
      </c>
      <c r="AJ340" t="n">
        <v>1</v>
      </c>
      <c r="AK340" t="n">
        <v>1</v>
      </c>
      <c r="AL340" t="n">
        <v>3</v>
      </c>
      <c r="AM340" t="n">
        <v>3</v>
      </c>
      <c r="AN340" t="n">
        <v>1</v>
      </c>
      <c r="AO340" t="n">
        <v>1</v>
      </c>
      <c r="AP340" t="n">
        <v>4</v>
      </c>
      <c r="AQ340" t="n">
        <v>7</v>
      </c>
      <c r="AR340" t="inlineStr">
        <is>
          <t>No</t>
        </is>
      </c>
      <c r="AS340" t="inlineStr">
        <is>
          <t>Yes</t>
        </is>
      </c>
      <c r="AT340">
        <f>HYPERLINK("http://catalog.hathitrust.org/Record/000356114","HathiTrust Record")</f>
        <v/>
      </c>
      <c r="AU340">
        <f>HYPERLINK("https://creighton-primo.hosted.exlibrisgroup.com/primo-explore/search?tab=default_tab&amp;search_scope=EVERYTHING&amp;vid=01CRU&amp;lang=en_US&amp;offset=0&amp;query=any,contains,991001179909702656","Catalog Record")</f>
        <v/>
      </c>
      <c r="AV340">
        <f>HYPERLINK("http://www.worldcat.org/oclc/10876855","WorldCat Record")</f>
        <v/>
      </c>
      <c r="AW340" t="inlineStr">
        <is>
          <t>3349644:eng</t>
        </is>
      </c>
      <c r="AX340" t="inlineStr">
        <is>
          <t>10876855</t>
        </is>
      </c>
      <c r="AY340" t="inlineStr">
        <is>
          <t>991001179909702656</t>
        </is>
      </c>
      <c r="AZ340" t="inlineStr">
        <is>
          <t>991001179909702656</t>
        </is>
      </c>
      <c r="BA340" t="inlineStr">
        <is>
          <t>2265163040002656</t>
        </is>
      </c>
      <c r="BB340" t="inlineStr">
        <is>
          <t>BOOK</t>
        </is>
      </c>
      <c r="BD340" t="inlineStr">
        <is>
          <t>9780874893885</t>
        </is>
      </c>
      <c r="BE340" t="inlineStr">
        <is>
          <t>30001000308793</t>
        </is>
      </c>
      <c r="BF340" t="inlineStr">
        <is>
          <t>893557671</t>
        </is>
      </c>
    </row>
    <row r="341">
      <c r="A341" t="inlineStr">
        <is>
          <t>No</t>
        </is>
      </c>
      <c r="B341" t="inlineStr">
        <is>
          <t>CUHSL</t>
        </is>
      </c>
      <c r="C341" t="inlineStr">
        <is>
          <t>SHELVES</t>
        </is>
      </c>
      <c r="D341" t="inlineStr">
        <is>
          <t>W 44 F532ma 1987</t>
        </is>
      </c>
      <c r="E341" t="inlineStr">
        <is>
          <t>0                      W  0044000F  532ma       1987</t>
        </is>
      </c>
      <c r="F341" t="inlineStr">
        <is>
          <t>Malpractice depositions : avoiding the traps / Raymond M. Fish, Melvin E. Ehrhardt.</t>
        </is>
      </c>
      <c r="H341" t="inlineStr">
        <is>
          <t>No</t>
        </is>
      </c>
      <c r="I341" t="inlineStr">
        <is>
          <t>1</t>
        </is>
      </c>
      <c r="J341" t="inlineStr">
        <is>
          <t>No</t>
        </is>
      </c>
      <c r="K341" t="inlineStr">
        <is>
          <t>No</t>
        </is>
      </c>
      <c r="L341" t="inlineStr">
        <is>
          <t>0</t>
        </is>
      </c>
      <c r="M341" t="inlineStr">
        <is>
          <t>Fish, Raymond M.</t>
        </is>
      </c>
      <c r="N341" t="inlineStr">
        <is>
          <t>Oradell, N.J. : Medical Economics Books, c1987.</t>
        </is>
      </c>
      <c r="O341" t="inlineStr">
        <is>
          <t>1987</t>
        </is>
      </c>
      <c r="Q341" t="inlineStr">
        <is>
          <t>eng</t>
        </is>
      </c>
      <c r="R341" t="inlineStr">
        <is>
          <t>xxu</t>
        </is>
      </c>
      <c r="T341" t="inlineStr">
        <is>
          <t xml:space="preserve">W  </t>
        </is>
      </c>
      <c r="U341" t="n">
        <v>2</v>
      </c>
      <c r="V341" t="n">
        <v>2</v>
      </c>
      <c r="W341" t="inlineStr">
        <is>
          <t>1998-11-07</t>
        </is>
      </c>
      <c r="X341" t="inlineStr">
        <is>
          <t>1998-11-07</t>
        </is>
      </c>
      <c r="Y341" t="inlineStr">
        <is>
          <t>1987-10-21</t>
        </is>
      </c>
      <c r="Z341" t="inlineStr">
        <is>
          <t>1987-10-21</t>
        </is>
      </c>
      <c r="AA341" t="n">
        <v>166</v>
      </c>
      <c r="AB341" t="n">
        <v>158</v>
      </c>
      <c r="AC341" t="n">
        <v>160</v>
      </c>
      <c r="AD341" t="n">
        <v>1</v>
      </c>
      <c r="AE341" t="n">
        <v>1</v>
      </c>
      <c r="AF341" t="n">
        <v>7</v>
      </c>
      <c r="AG341" t="n">
        <v>7</v>
      </c>
      <c r="AH341" t="n">
        <v>0</v>
      </c>
      <c r="AI341" t="n">
        <v>0</v>
      </c>
      <c r="AJ341" t="n">
        <v>0</v>
      </c>
      <c r="AK341" t="n">
        <v>0</v>
      </c>
      <c r="AL341" t="n">
        <v>1</v>
      </c>
      <c r="AM341" t="n">
        <v>1</v>
      </c>
      <c r="AN341" t="n">
        <v>0</v>
      </c>
      <c r="AO341" t="n">
        <v>0</v>
      </c>
      <c r="AP341" t="n">
        <v>6</v>
      </c>
      <c r="AQ341" t="n">
        <v>6</v>
      </c>
      <c r="AR341" t="inlineStr">
        <is>
          <t>No</t>
        </is>
      </c>
      <c r="AS341" t="inlineStr">
        <is>
          <t>Yes</t>
        </is>
      </c>
      <c r="AT341">
        <f>HYPERLINK("http://catalog.hathitrust.org/Record/000927851","HathiTrust Record")</f>
        <v/>
      </c>
      <c r="AU341">
        <f>HYPERLINK("https://creighton-primo.hosted.exlibrisgroup.com/primo-explore/search?tab=default_tab&amp;search_scope=EVERYTHING&amp;vid=01CRU&amp;lang=en_US&amp;offset=0&amp;query=any,contains,991001529299702656","Catalog Record")</f>
        <v/>
      </c>
      <c r="AV341">
        <f>HYPERLINK("http://www.worldcat.org/oclc/13582089","WorldCat Record")</f>
        <v/>
      </c>
      <c r="AW341" t="inlineStr">
        <is>
          <t>198416741:eng</t>
        </is>
      </c>
      <c r="AX341" t="inlineStr">
        <is>
          <t>13582089</t>
        </is>
      </c>
      <c r="AY341" t="inlineStr">
        <is>
          <t>991001529299702656</t>
        </is>
      </c>
      <c r="AZ341" t="inlineStr">
        <is>
          <t>991001529299702656</t>
        </is>
      </c>
      <c r="BA341" t="inlineStr">
        <is>
          <t>2272472590002656</t>
        </is>
      </c>
      <c r="BB341" t="inlineStr">
        <is>
          <t>BOOK</t>
        </is>
      </c>
      <c r="BD341" t="inlineStr">
        <is>
          <t>9780874894172</t>
        </is>
      </c>
      <c r="BE341" t="inlineStr">
        <is>
          <t>30001000621021</t>
        </is>
      </c>
      <c r="BF341" t="inlineStr">
        <is>
          <t>893451308</t>
        </is>
      </c>
    </row>
    <row r="342">
      <c r="A342" t="inlineStr">
        <is>
          <t>No</t>
        </is>
      </c>
      <c r="B342" t="inlineStr">
        <is>
          <t>CUHSL</t>
        </is>
      </c>
      <c r="C342" t="inlineStr">
        <is>
          <t>SHELVES</t>
        </is>
      </c>
      <c r="D342" t="inlineStr">
        <is>
          <t>W 44 G624e 1983</t>
        </is>
      </c>
      <c r="E342" t="inlineStr">
        <is>
          <t>0                      W  0044000G  624e        1983</t>
        </is>
      </c>
      <c r="F342" t="inlineStr">
        <is>
          <t>EMS and the law : a legal handbook for EMS personnel / Arnold S. Goldstein.</t>
        </is>
      </c>
      <c r="H342" t="inlineStr">
        <is>
          <t>No</t>
        </is>
      </c>
      <c r="I342" t="inlineStr">
        <is>
          <t>1</t>
        </is>
      </c>
      <c r="J342" t="inlineStr">
        <is>
          <t>No</t>
        </is>
      </c>
      <c r="K342" t="inlineStr">
        <is>
          <t>No</t>
        </is>
      </c>
      <c r="L342" t="inlineStr">
        <is>
          <t>0</t>
        </is>
      </c>
      <c r="M342" t="inlineStr">
        <is>
          <t>Goldstein, Arnold S.</t>
        </is>
      </c>
      <c r="N342" t="inlineStr">
        <is>
          <t>Bowie, Md. : Brady, c1983.</t>
        </is>
      </c>
      <c r="O342" t="inlineStr">
        <is>
          <t>1983</t>
        </is>
      </c>
      <c r="Q342" t="inlineStr">
        <is>
          <t>eng</t>
        </is>
      </c>
      <c r="R342" t="inlineStr">
        <is>
          <t>xxu</t>
        </is>
      </c>
      <c r="T342" t="inlineStr">
        <is>
          <t xml:space="preserve">W  </t>
        </is>
      </c>
      <c r="U342" t="n">
        <v>5</v>
      </c>
      <c r="V342" t="n">
        <v>5</v>
      </c>
      <c r="W342" t="inlineStr">
        <is>
          <t>1990-04-28</t>
        </is>
      </c>
      <c r="X342" t="inlineStr">
        <is>
          <t>1990-04-28</t>
        </is>
      </c>
      <c r="Y342" t="inlineStr">
        <is>
          <t>1987-10-01</t>
        </is>
      </c>
      <c r="Z342" t="inlineStr">
        <is>
          <t>1987-10-01</t>
        </is>
      </c>
      <c r="AA342" t="n">
        <v>136</v>
      </c>
      <c r="AB342" t="n">
        <v>129</v>
      </c>
      <c r="AC342" t="n">
        <v>131</v>
      </c>
      <c r="AD342" t="n">
        <v>1</v>
      </c>
      <c r="AE342" t="n">
        <v>1</v>
      </c>
      <c r="AF342" t="n">
        <v>2</v>
      </c>
      <c r="AG342" t="n">
        <v>2</v>
      </c>
      <c r="AH342" t="n">
        <v>0</v>
      </c>
      <c r="AI342" t="n">
        <v>0</v>
      </c>
      <c r="AJ342" t="n">
        <v>0</v>
      </c>
      <c r="AK342" t="n">
        <v>0</v>
      </c>
      <c r="AL342" t="n">
        <v>0</v>
      </c>
      <c r="AM342" t="n">
        <v>0</v>
      </c>
      <c r="AN342" t="n">
        <v>0</v>
      </c>
      <c r="AO342" t="n">
        <v>0</v>
      </c>
      <c r="AP342" t="n">
        <v>2</v>
      </c>
      <c r="AQ342" t="n">
        <v>2</v>
      </c>
      <c r="AR342" t="inlineStr">
        <is>
          <t>No</t>
        </is>
      </c>
      <c r="AS342" t="inlineStr">
        <is>
          <t>Yes</t>
        </is>
      </c>
      <c r="AT342">
        <f>HYPERLINK("http://catalog.hathitrust.org/Record/000324488","HathiTrust Record")</f>
        <v/>
      </c>
      <c r="AU342">
        <f>HYPERLINK("https://creighton-primo.hosted.exlibrisgroup.com/primo-explore/search?tab=default_tab&amp;search_scope=EVERYTHING&amp;vid=01CRU&amp;lang=en_US&amp;offset=0&amp;query=any,contains,991001179759702656","Catalog Record")</f>
        <v/>
      </c>
      <c r="AV342">
        <f>HYPERLINK("http://www.worldcat.org/oclc/9282410","WorldCat Record")</f>
        <v/>
      </c>
      <c r="AW342" t="inlineStr">
        <is>
          <t>43122940:eng</t>
        </is>
      </c>
      <c r="AX342" t="inlineStr">
        <is>
          <t>9282410</t>
        </is>
      </c>
      <c r="AY342" t="inlineStr">
        <is>
          <t>991001179759702656</t>
        </is>
      </c>
      <c r="AZ342" t="inlineStr">
        <is>
          <t>991001179759702656</t>
        </is>
      </c>
      <c r="BA342" t="inlineStr">
        <is>
          <t>2268589640002656</t>
        </is>
      </c>
      <c r="BB342" t="inlineStr">
        <is>
          <t>BOOK</t>
        </is>
      </c>
      <c r="BD342" t="inlineStr">
        <is>
          <t>9780893034221</t>
        </is>
      </c>
      <c r="BE342" t="inlineStr">
        <is>
          <t>30001000308785</t>
        </is>
      </c>
      <c r="BF342" t="inlineStr">
        <is>
          <t>893743667</t>
        </is>
      </c>
    </row>
    <row r="343">
      <c r="A343" t="inlineStr">
        <is>
          <t>No</t>
        </is>
      </c>
      <c r="B343" t="inlineStr">
        <is>
          <t>CUHSL</t>
        </is>
      </c>
      <c r="C343" t="inlineStr">
        <is>
          <t>SHELVES</t>
        </is>
      </c>
      <c r="D343" t="inlineStr">
        <is>
          <t>W 44 H727m 1978</t>
        </is>
      </c>
      <c r="E343" t="inlineStr">
        <is>
          <t>0                      W  0044000H  727m        1978</t>
        </is>
      </c>
      <c r="F343" t="inlineStr">
        <is>
          <t>Medical malpractice law / Angela Roddey Holder ; foreword by Jay Katz.</t>
        </is>
      </c>
      <c r="H343" t="inlineStr">
        <is>
          <t>No</t>
        </is>
      </c>
      <c r="I343" t="inlineStr">
        <is>
          <t>1</t>
        </is>
      </c>
      <c r="J343" t="inlineStr">
        <is>
          <t>Yes</t>
        </is>
      </c>
      <c r="K343" t="inlineStr">
        <is>
          <t>No</t>
        </is>
      </c>
      <c r="L343" t="inlineStr">
        <is>
          <t>0</t>
        </is>
      </c>
      <c r="M343" t="inlineStr">
        <is>
          <t>Holder, Angela Roddey.</t>
        </is>
      </c>
      <c r="N343" t="inlineStr">
        <is>
          <t>New York : Wiley, c1978.</t>
        </is>
      </c>
      <c r="O343" t="inlineStr">
        <is>
          <t>1978</t>
        </is>
      </c>
      <c r="P343" t="inlineStr">
        <is>
          <t>2nd ed.</t>
        </is>
      </c>
      <c r="Q343" t="inlineStr">
        <is>
          <t>eng</t>
        </is>
      </c>
      <c r="R343" t="inlineStr">
        <is>
          <t>nyu</t>
        </is>
      </c>
      <c r="S343" t="inlineStr">
        <is>
          <t>A Wiley medical publication</t>
        </is>
      </c>
      <c r="T343" t="inlineStr">
        <is>
          <t xml:space="preserve">W  </t>
        </is>
      </c>
      <c r="U343" t="n">
        <v>1</v>
      </c>
      <c r="V343" t="n">
        <v>4</v>
      </c>
      <c r="W343" t="inlineStr">
        <is>
          <t>1990-04-28</t>
        </is>
      </c>
      <c r="X343" t="inlineStr">
        <is>
          <t>1998-09-13</t>
        </is>
      </c>
      <c r="Y343" t="inlineStr">
        <is>
          <t>1987-10-02</t>
        </is>
      </c>
      <c r="Z343" t="inlineStr">
        <is>
          <t>1991-07-15</t>
        </is>
      </c>
      <c r="AA343" t="n">
        <v>381</v>
      </c>
      <c r="AB343" t="n">
        <v>325</v>
      </c>
      <c r="AC343" t="n">
        <v>498</v>
      </c>
      <c r="AD343" t="n">
        <v>4</v>
      </c>
      <c r="AE343" t="n">
        <v>4</v>
      </c>
      <c r="AF343" t="n">
        <v>27</v>
      </c>
      <c r="AG343" t="n">
        <v>31</v>
      </c>
      <c r="AH343" t="n">
        <v>4</v>
      </c>
      <c r="AI343" t="n">
        <v>6</v>
      </c>
      <c r="AJ343" t="n">
        <v>1</v>
      </c>
      <c r="AK343" t="n">
        <v>1</v>
      </c>
      <c r="AL343" t="n">
        <v>3</v>
      </c>
      <c r="AM343" t="n">
        <v>6</v>
      </c>
      <c r="AN343" t="n">
        <v>1</v>
      </c>
      <c r="AO343" t="n">
        <v>1</v>
      </c>
      <c r="AP343" t="n">
        <v>19</v>
      </c>
      <c r="AQ343" t="n">
        <v>20</v>
      </c>
      <c r="AR343" t="inlineStr">
        <is>
          <t>No</t>
        </is>
      </c>
      <c r="AS343" t="inlineStr">
        <is>
          <t>Yes</t>
        </is>
      </c>
      <c r="AT343">
        <f>HYPERLINK("http://catalog.hathitrust.org/Record/000089511","HathiTrust Record")</f>
        <v/>
      </c>
      <c r="AU343">
        <f>HYPERLINK("https://creighton-primo.hosted.exlibrisgroup.com/primo-explore/search?tab=default_tab&amp;search_scope=EVERYTHING&amp;vid=01CRU&amp;lang=en_US&amp;offset=0&amp;query=any,contains,991001784809702656","Catalog Record")</f>
        <v/>
      </c>
      <c r="AV343">
        <f>HYPERLINK("http://www.worldcat.org/oclc/3541830","WorldCat Record")</f>
        <v/>
      </c>
      <c r="AW343" t="inlineStr">
        <is>
          <t>1980365:eng</t>
        </is>
      </c>
      <c r="AX343" t="inlineStr">
        <is>
          <t>3541830</t>
        </is>
      </c>
      <c r="AY343" t="inlineStr">
        <is>
          <t>991001784809702656</t>
        </is>
      </c>
      <c r="AZ343" t="inlineStr">
        <is>
          <t>991001784809702656</t>
        </is>
      </c>
      <c r="BA343" t="inlineStr">
        <is>
          <t>2266355890002656</t>
        </is>
      </c>
      <c r="BB343" t="inlineStr">
        <is>
          <t>BOOK</t>
        </is>
      </c>
      <c r="BD343" t="inlineStr">
        <is>
          <t>9780471038825</t>
        </is>
      </c>
      <c r="BE343" t="inlineStr">
        <is>
          <t>30001000308777</t>
        </is>
      </c>
      <c r="BF343" t="inlineStr">
        <is>
          <t>893638632</t>
        </is>
      </c>
    </row>
    <row r="344">
      <c r="A344" t="inlineStr">
        <is>
          <t>No</t>
        </is>
      </c>
      <c r="B344" t="inlineStr">
        <is>
          <t>CUHSL</t>
        </is>
      </c>
      <c r="C344" t="inlineStr">
        <is>
          <t>SHELVES</t>
        </is>
      </c>
      <c r="D344" t="inlineStr">
        <is>
          <t>W 44 I29 1988</t>
        </is>
      </c>
      <c r="E344" t="inlineStr">
        <is>
          <t>0                      W  0044000I  29          1988</t>
        </is>
      </c>
      <c r="F344" t="inlineStr">
        <is>
          <t>Illinois medical malpractice : a guide for the health sciences / James A. Rapp ... [et al.].</t>
        </is>
      </c>
      <c r="H344" t="inlineStr">
        <is>
          <t>No</t>
        </is>
      </c>
      <c r="I344" t="inlineStr">
        <is>
          <t>1</t>
        </is>
      </c>
      <c r="J344" t="inlineStr">
        <is>
          <t>No</t>
        </is>
      </c>
      <c r="K344" t="inlineStr">
        <is>
          <t>No</t>
        </is>
      </c>
      <c r="L344" t="inlineStr">
        <is>
          <t>0</t>
        </is>
      </c>
      <c r="N344" t="inlineStr">
        <is>
          <t>St. Louis : Mosby, c1988.</t>
        </is>
      </c>
      <c r="O344" t="inlineStr">
        <is>
          <t>1988</t>
        </is>
      </c>
      <c r="Q344" t="inlineStr">
        <is>
          <t>eng</t>
        </is>
      </c>
      <c r="R344" t="inlineStr">
        <is>
          <t>xxu</t>
        </is>
      </c>
      <c r="T344" t="inlineStr">
        <is>
          <t xml:space="preserve">W  </t>
        </is>
      </c>
      <c r="U344" t="n">
        <v>1</v>
      </c>
      <c r="V344" t="n">
        <v>1</v>
      </c>
      <c r="W344" t="inlineStr">
        <is>
          <t>1993-12-02</t>
        </is>
      </c>
      <c r="X344" t="inlineStr">
        <is>
          <t>1993-12-02</t>
        </is>
      </c>
      <c r="Y344" t="inlineStr">
        <is>
          <t>1988-02-18</t>
        </is>
      </c>
      <c r="Z344" t="inlineStr">
        <is>
          <t>1988-02-18</t>
        </is>
      </c>
      <c r="AA344" t="n">
        <v>38</v>
      </c>
      <c r="AB344" t="n">
        <v>37</v>
      </c>
      <c r="AC344" t="n">
        <v>37</v>
      </c>
      <c r="AD344" t="n">
        <v>1</v>
      </c>
      <c r="AE344" t="n">
        <v>1</v>
      </c>
      <c r="AF344" t="n">
        <v>3</v>
      </c>
      <c r="AG344" t="n">
        <v>3</v>
      </c>
      <c r="AH344" t="n">
        <v>0</v>
      </c>
      <c r="AI344" t="n">
        <v>0</v>
      </c>
      <c r="AJ344" t="n">
        <v>1</v>
      </c>
      <c r="AK344" t="n">
        <v>1</v>
      </c>
      <c r="AL344" t="n">
        <v>0</v>
      </c>
      <c r="AM344" t="n">
        <v>0</v>
      </c>
      <c r="AN344" t="n">
        <v>0</v>
      </c>
      <c r="AO344" t="n">
        <v>0</v>
      </c>
      <c r="AP344" t="n">
        <v>2</v>
      </c>
      <c r="AQ344" t="n">
        <v>2</v>
      </c>
      <c r="AR344" t="inlineStr">
        <is>
          <t>No</t>
        </is>
      </c>
      <c r="AS344" t="inlineStr">
        <is>
          <t>No</t>
        </is>
      </c>
      <c r="AU344">
        <f>HYPERLINK("https://creighton-primo.hosted.exlibrisgroup.com/primo-explore/search?tab=default_tab&amp;search_scope=EVERYTHING&amp;vid=01CRU&amp;lang=en_US&amp;offset=0&amp;query=any,contains,991001540539702656","Catalog Record")</f>
        <v/>
      </c>
      <c r="AV344">
        <f>HYPERLINK("http://www.worldcat.org/oclc/16277255","WorldCat Record")</f>
        <v/>
      </c>
      <c r="AW344" t="inlineStr">
        <is>
          <t>12353507:eng</t>
        </is>
      </c>
      <c r="AX344" t="inlineStr">
        <is>
          <t>16277255</t>
        </is>
      </c>
      <c r="AY344" t="inlineStr">
        <is>
          <t>991001540539702656</t>
        </is>
      </c>
      <c r="AZ344" t="inlineStr">
        <is>
          <t>991001540539702656</t>
        </is>
      </c>
      <c r="BA344" t="inlineStr">
        <is>
          <t>2261957340002656</t>
        </is>
      </c>
      <c r="BB344" t="inlineStr">
        <is>
          <t>BOOK</t>
        </is>
      </c>
      <c r="BD344" t="inlineStr">
        <is>
          <t>9780801640223</t>
        </is>
      </c>
      <c r="BE344" t="inlineStr">
        <is>
          <t>30001000625006</t>
        </is>
      </c>
      <c r="BF344" t="inlineStr">
        <is>
          <t>893377324</t>
        </is>
      </c>
    </row>
    <row r="345">
      <c r="A345" t="inlineStr">
        <is>
          <t>No</t>
        </is>
      </c>
      <c r="B345" t="inlineStr">
        <is>
          <t>CUHSL</t>
        </is>
      </c>
      <c r="C345" t="inlineStr">
        <is>
          <t>SHELVES</t>
        </is>
      </c>
      <c r="D345" t="inlineStr">
        <is>
          <t>W 44 K53L 1986</t>
        </is>
      </c>
      <c r="E345" t="inlineStr">
        <is>
          <t>0                      W  0044000K  53L         1986</t>
        </is>
      </c>
      <c r="F345" t="inlineStr">
        <is>
          <t>The law of medical malpractice in a nutshell / by Joseph H. King, Jr.</t>
        </is>
      </c>
      <c r="H345" t="inlineStr">
        <is>
          <t>No</t>
        </is>
      </c>
      <c r="I345" t="inlineStr">
        <is>
          <t>1</t>
        </is>
      </c>
      <c r="J345" t="inlineStr">
        <is>
          <t>Yes</t>
        </is>
      </c>
      <c r="K345" t="inlineStr">
        <is>
          <t>Yes</t>
        </is>
      </c>
      <c r="L345" t="inlineStr">
        <is>
          <t>0</t>
        </is>
      </c>
      <c r="M345" t="inlineStr">
        <is>
          <t>King, Joseph H.</t>
        </is>
      </c>
      <c r="N345" t="inlineStr">
        <is>
          <t>St. Paul, Minn. : West Pub. Co., c1986.</t>
        </is>
      </c>
      <c r="O345" t="inlineStr">
        <is>
          <t>1986</t>
        </is>
      </c>
      <c r="P345" t="inlineStr">
        <is>
          <t>2nd ed.</t>
        </is>
      </c>
      <c r="Q345" t="inlineStr">
        <is>
          <t>eng</t>
        </is>
      </c>
      <c r="R345" t="inlineStr">
        <is>
          <t>xxu</t>
        </is>
      </c>
      <c r="S345" t="inlineStr">
        <is>
          <t>Nutshell series</t>
        </is>
      </c>
      <c r="T345" t="inlineStr">
        <is>
          <t xml:space="preserve">W  </t>
        </is>
      </c>
      <c r="U345" t="n">
        <v>8</v>
      </c>
      <c r="V345" t="n">
        <v>8</v>
      </c>
      <c r="W345" t="inlineStr">
        <is>
          <t>1998-11-07</t>
        </is>
      </c>
      <c r="X345" t="inlineStr">
        <is>
          <t>1998-11-07</t>
        </is>
      </c>
      <c r="Y345" t="inlineStr">
        <is>
          <t>1991-04-16</t>
        </is>
      </c>
      <c r="Z345" t="inlineStr">
        <is>
          <t>1991-04-16</t>
        </is>
      </c>
      <c r="AA345" t="n">
        <v>302</v>
      </c>
      <c r="AB345" t="n">
        <v>272</v>
      </c>
      <c r="AC345" t="n">
        <v>372</v>
      </c>
      <c r="AD345" t="n">
        <v>3</v>
      </c>
      <c r="AE345" t="n">
        <v>4</v>
      </c>
      <c r="AF345" t="n">
        <v>20</v>
      </c>
      <c r="AG345" t="n">
        <v>24</v>
      </c>
      <c r="AH345" t="n">
        <v>2</v>
      </c>
      <c r="AI345" t="n">
        <v>3</v>
      </c>
      <c r="AJ345" t="n">
        <v>0</v>
      </c>
      <c r="AK345" t="n">
        <v>0</v>
      </c>
      <c r="AL345" t="n">
        <v>3</v>
      </c>
      <c r="AM345" t="n">
        <v>4</v>
      </c>
      <c r="AN345" t="n">
        <v>0</v>
      </c>
      <c r="AO345" t="n">
        <v>1</v>
      </c>
      <c r="AP345" t="n">
        <v>16</v>
      </c>
      <c r="AQ345" t="n">
        <v>17</v>
      </c>
      <c r="AR345" t="inlineStr">
        <is>
          <t>No</t>
        </is>
      </c>
      <c r="AS345" t="inlineStr">
        <is>
          <t>No</t>
        </is>
      </c>
      <c r="AU345">
        <f>HYPERLINK("https://creighton-primo.hosted.exlibrisgroup.com/primo-explore/search?tab=default_tab&amp;search_scope=EVERYTHING&amp;vid=01CRU&amp;lang=en_US&amp;offset=0&amp;query=any,contains,991000828169702656","Catalog Record")</f>
        <v/>
      </c>
      <c r="AV345">
        <f>HYPERLINK("http://www.worldcat.org/oclc/13010058","WorldCat Record")</f>
        <v/>
      </c>
      <c r="AW345" t="inlineStr">
        <is>
          <t>5483482:eng</t>
        </is>
      </c>
      <c r="AX345" t="inlineStr">
        <is>
          <t>13010058</t>
        </is>
      </c>
      <c r="AY345" t="inlineStr">
        <is>
          <t>991000828169702656</t>
        </is>
      </c>
      <c r="AZ345" t="inlineStr">
        <is>
          <t>991000828169702656</t>
        </is>
      </c>
      <c r="BA345" t="inlineStr">
        <is>
          <t>2268847630002656</t>
        </is>
      </c>
      <c r="BB345" t="inlineStr">
        <is>
          <t>BOOK</t>
        </is>
      </c>
      <c r="BD345" t="inlineStr">
        <is>
          <t>9780314982001</t>
        </is>
      </c>
      <c r="BE345" t="inlineStr">
        <is>
          <t>30001002089920</t>
        </is>
      </c>
      <c r="BF345" t="inlineStr">
        <is>
          <t>893283852</t>
        </is>
      </c>
    </row>
    <row r="346">
      <c r="A346" t="inlineStr">
        <is>
          <t>No</t>
        </is>
      </c>
      <c r="B346" t="inlineStr">
        <is>
          <t>CUHSL</t>
        </is>
      </c>
      <c r="C346" t="inlineStr">
        <is>
          <t>SHELVES</t>
        </is>
      </c>
      <c r="D346" t="inlineStr">
        <is>
          <t>W 44 L665s 1970</t>
        </is>
      </c>
      <c r="E346" t="inlineStr">
        <is>
          <t>0                      W  0044000L  665s        1970</t>
        </is>
      </c>
      <c r="F346" t="inlineStr">
        <is>
          <t>Surgical malpractice : surgical errors and accidents and professional liability to the injured / Moe Levine.</t>
        </is>
      </c>
      <c r="H346" t="inlineStr">
        <is>
          <t>No</t>
        </is>
      </c>
      <c r="I346" t="inlineStr">
        <is>
          <t>1</t>
        </is>
      </c>
      <c r="J346" t="inlineStr">
        <is>
          <t>No</t>
        </is>
      </c>
      <c r="K346" t="inlineStr">
        <is>
          <t>No</t>
        </is>
      </c>
      <c r="L346" t="inlineStr">
        <is>
          <t>0</t>
        </is>
      </c>
      <c r="M346" t="inlineStr">
        <is>
          <t>Levine, Moe.</t>
        </is>
      </c>
      <c r="N346" t="inlineStr">
        <is>
          <t>Washington : Trial Lawyers Service Co., c1970.</t>
        </is>
      </c>
      <c r="O346" t="inlineStr">
        <is>
          <t>1970</t>
        </is>
      </c>
      <c r="Q346" t="inlineStr">
        <is>
          <t>eng</t>
        </is>
      </c>
      <c r="R346" t="inlineStr">
        <is>
          <t>|||</t>
        </is>
      </c>
      <c r="T346" t="inlineStr">
        <is>
          <t xml:space="preserve">W  </t>
        </is>
      </c>
      <c r="U346" t="n">
        <v>1</v>
      </c>
      <c r="V346" t="n">
        <v>1</v>
      </c>
      <c r="W346" t="inlineStr">
        <is>
          <t>2001-07-03</t>
        </is>
      </c>
      <c r="X346" t="inlineStr">
        <is>
          <t>2001-07-03</t>
        </is>
      </c>
      <c r="Y346" t="inlineStr">
        <is>
          <t>1987-10-02</t>
        </is>
      </c>
      <c r="Z346" t="inlineStr">
        <is>
          <t>1987-10-02</t>
        </is>
      </c>
      <c r="AA346" t="n">
        <v>24</v>
      </c>
      <c r="AB346" t="n">
        <v>14</v>
      </c>
      <c r="AC346" t="n">
        <v>14</v>
      </c>
      <c r="AD346" t="n">
        <v>1</v>
      </c>
      <c r="AE346" t="n">
        <v>1</v>
      </c>
      <c r="AF346" t="n">
        <v>0</v>
      </c>
      <c r="AG346" t="n">
        <v>0</v>
      </c>
      <c r="AH346" t="n">
        <v>0</v>
      </c>
      <c r="AI346" t="n">
        <v>0</v>
      </c>
      <c r="AJ346" t="n">
        <v>0</v>
      </c>
      <c r="AK346" t="n">
        <v>0</v>
      </c>
      <c r="AL346" t="n">
        <v>0</v>
      </c>
      <c r="AM346" t="n">
        <v>0</v>
      </c>
      <c r="AN346" t="n">
        <v>0</v>
      </c>
      <c r="AO346" t="n">
        <v>0</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HYPERLINK("https://creighton-primo.hosted.exlibrisgroup.com/primo-explore/search?tab=default_tab&amp;search_scope=EVERYTHING&amp;vid=01CRU&amp;lang=en_US&amp;offset=0&amp;query=any,contains,991001182029702656","Catalog Record")</f>
        <v/>
      </c>
      <c r="AV346">
        <f>HYPERLINK("http://www.worldcat.org/oclc/856722","WorldCat Record")</f>
        <v/>
      </c>
      <c r="AW346" t="inlineStr">
        <is>
          <t>3902543966:eng</t>
        </is>
      </c>
      <c r="AX346" t="inlineStr">
        <is>
          <t>856722</t>
        </is>
      </c>
      <c r="AY346" t="inlineStr">
        <is>
          <t>991001182029702656</t>
        </is>
      </c>
      <c r="AZ346" t="inlineStr">
        <is>
          <t>991001182029702656</t>
        </is>
      </c>
      <c r="BA346" t="inlineStr">
        <is>
          <t>2268444740002656</t>
        </is>
      </c>
      <c r="BB346" t="inlineStr">
        <is>
          <t>BOOK</t>
        </is>
      </c>
      <c r="BE346" t="inlineStr">
        <is>
          <t>30001000309189</t>
        </is>
      </c>
      <c r="BF346" t="inlineStr">
        <is>
          <t>893727321</t>
        </is>
      </c>
    </row>
    <row r="347">
      <c r="A347" t="inlineStr">
        <is>
          <t>No</t>
        </is>
      </c>
      <c r="B347" t="inlineStr">
        <is>
          <t>CUHSL</t>
        </is>
      </c>
      <c r="C347" t="inlineStr">
        <is>
          <t>SHELVES</t>
        </is>
      </c>
      <c r="D347" t="inlineStr">
        <is>
          <t>W 44 P445p 1983</t>
        </is>
      </c>
      <c r="E347" t="inlineStr">
        <is>
          <t>0                      W  0044000P  445p        1983</t>
        </is>
      </c>
      <c r="F347" t="inlineStr">
        <is>
          <t>Perinatal practice and malpractice symposium : full proceedings, December 1983 / sponsored by the University of Medicine and Dentistry of New Jersey-New Jersey Medical School ; in cooperation with the University of Medicine and Dentistry of New Jersey-Office of Continuing Education ... [et al.] ; editor, Leslie Iffy, associate editor, Joseph J. Apuzzio, assistant editor, Laszlo Hopp.</t>
        </is>
      </c>
      <c r="H347" t="inlineStr">
        <is>
          <t>No</t>
        </is>
      </c>
      <c r="I347" t="inlineStr">
        <is>
          <t>1</t>
        </is>
      </c>
      <c r="J347" t="inlineStr">
        <is>
          <t>No</t>
        </is>
      </c>
      <c r="K347" t="inlineStr">
        <is>
          <t>No</t>
        </is>
      </c>
      <c r="L347" t="inlineStr">
        <is>
          <t>0</t>
        </is>
      </c>
      <c r="M347" t="inlineStr">
        <is>
          <t>Perinatal Practice and Malpractice Symposium (1983 : Morristown, N.J.)</t>
        </is>
      </c>
      <c r="N347" t="inlineStr">
        <is>
          <t>New York : Academy Professional Information Services, Inc., [1984?]</t>
        </is>
      </c>
      <c r="O347" t="inlineStr">
        <is>
          <t>1984</t>
        </is>
      </c>
      <c r="Q347" t="inlineStr">
        <is>
          <t>eng</t>
        </is>
      </c>
      <c r="R347" t="inlineStr">
        <is>
          <t>nyu</t>
        </is>
      </c>
      <c r="T347" t="inlineStr">
        <is>
          <t xml:space="preserve">W  </t>
        </is>
      </c>
      <c r="U347" t="n">
        <v>3</v>
      </c>
      <c r="V347" t="n">
        <v>3</v>
      </c>
      <c r="W347" t="inlineStr">
        <is>
          <t>1996-08-06</t>
        </is>
      </c>
      <c r="X347" t="inlineStr">
        <is>
          <t>1996-08-06</t>
        </is>
      </c>
      <c r="Y347" t="inlineStr">
        <is>
          <t>1987-10-02</t>
        </is>
      </c>
      <c r="Z347" t="inlineStr">
        <is>
          <t>1987-10-02</t>
        </is>
      </c>
      <c r="AA347" t="n">
        <v>43</v>
      </c>
      <c r="AB347" t="n">
        <v>43</v>
      </c>
      <c r="AC347" t="n">
        <v>88</v>
      </c>
      <c r="AD347" t="n">
        <v>1</v>
      </c>
      <c r="AE347" t="n">
        <v>1</v>
      </c>
      <c r="AF347" t="n">
        <v>1</v>
      </c>
      <c r="AG347" t="n">
        <v>1</v>
      </c>
      <c r="AH347" t="n">
        <v>0</v>
      </c>
      <c r="AI347" t="n">
        <v>0</v>
      </c>
      <c r="AJ347" t="n">
        <v>0</v>
      </c>
      <c r="AK347" t="n">
        <v>0</v>
      </c>
      <c r="AL347" t="n">
        <v>0</v>
      </c>
      <c r="AM347" t="n">
        <v>0</v>
      </c>
      <c r="AN347" t="n">
        <v>0</v>
      </c>
      <c r="AO347" t="n">
        <v>0</v>
      </c>
      <c r="AP347" t="n">
        <v>1</v>
      </c>
      <c r="AQ347" t="n">
        <v>1</v>
      </c>
      <c r="AR347" t="inlineStr">
        <is>
          <t>No</t>
        </is>
      </c>
      <c r="AS347" t="inlineStr">
        <is>
          <t>Yes</t>
        </is>
      </c>
      <c r="AT347">
        <f>HYPERLINK("http://catalog.hathitrust.org/Record/010579267","HathiTrust Record")</f>
        <v/>
      </c>
      <c r="AU347">
        <f>HYPERLINK("https://creighton-primo.hosted.exlibrisgroup.com/primo-explore/search?tab=default_tab&amp;search_scope=EVERYTHING&amp;vid=01CRU&amp;lang=en_US&amp;offset=0&amp;query=any,contains,991001182069702656","Catalog Record")</f>
        <v/>
      </c>
      <c r="AV347">
        <f>HYPERLINK("http://www.worldcat.org/oclc/11535033","WorldCat Record")</f>
        <v/>
      </c>
      <c r="AW347" t="inlineStr">
        <is>
          <t>4197575:eng</t>
        </is>
      </c>
      <c r="AX347" t="inlineStr">
        <is>
          <t>11535033</t>
        </is>
      </c>
      <c r="AY347" t="inlineStr">
        <is>
          <t>991001182069702656</t>
        </is>
      </c>
      <c r="AZ347" t="inlineStr">
        <is>
          <t>991001182069702656</t>
        </is>
      </c>
      <c r="BA347" t="inlineStr">
        <is>
          <t>2260642890002656</t>
        </is>
      </c>
      <c r="BB347" t="inlineStr">
        <is>
          <t>BOOK</t>
        </is>
      </c>
      <c r="BE347" t="inlineStr">
        <is>
          <t>30001000309197</t>
        </is>
      </c>
      <c r="BF347" t="inlineStr">
        <is>
          <t>893816173</t>
        </is>
      </c>
    </row>
    <row r="348">
      <c r="A348" t="inlineStr">
        <is>
          <t>No</t>
        </is>
      </c>
      <c r="B348" t="inlineStr">
        <is>
          <t>CUHSL</t>
        </is>
      </c>
      <c r="C348" t="inlineStr">
        <is>
          <t>SHELVES</t>
        </is>
      </c>
      <c r="D348" t="inlineStr">
        <is>
          <t>W 44 P893L 1990</t>
        </is>
      </c>
      <c r="E348" t="inlineStr">
        <is>
          <t>0                      W  0044000P  893L        1990</t>
        </is>
      </c>
      <c r="F348" t="inlineStr">
        <is>
          <t>Legal aspects of health care administration / George D. Pozgar.</t>
        </is>
      </c>
      <c r="H348" t="inlineStr">
        <is>
          <t>No</t>
        </is>
      </c>
      <c r="I348" t="inlineStr">
        <is>
          <t>1</t>
        </is>
      </c>
      <c r="J348" t="inlineStr">
        <is>
          <t>No</t>
        </is>
      </c>
      <c r="K348" t="inlineStr">
        <is>
          <t>Yes</t>
        </is>
      </c>
      <c r="L348" t="inlineStr">
        <is>
          <t>0</t>
        </is>
      </c>
      <c r="M348" t="inlineStr">
        <is>
          <t>Pozgar, George D.</t>
        </is>
      </c>
      <c r="N348" t="inlineStr">
        <is>
          <t>Rockville, Md. : Aspen Publishers, c1990.</t>
        </is>
      </c>
      <c r="O348" t="inlineStr">
        <is>
          <t>1990</t>
        </is>
      </c>
      <c r="P348" t="inlineStr">
        <is>
          <t>4th ed.</t>
        </is>
      </c>
      <c r="Q348" t="inlineStr">
        <is>
          <t>eng</t>
        </is>
      </c>
      <c r="R348" t="inlineStr">
        <is>
          <t>xxu</t>
        </is>
      </c>
      <c r="T348" t="inlineStr">
        <is>
          <t xml:space="preserve">W  </t>
        </is>
      </c>
      <c r="U348" t="n">
        <v>1</v>
      </c>
      <c r="V348" t="n">
        <v>1</v>
      </c>
      <c r="W348" t="inlineStr">
        <is>
          <t>1990-10-23</t>
        </is>
      </c>
      <c r="X348" t="inlineStr">
        <is>
          <t>1990-10-23</t>
        </is>
      </c>
      <c r="Y348" t="inlineStr">
        <is>
          <t>1990-10-23</t>
        </is>
      </c>
      <c r="Z348" t="inlineStr">
        <is>
          <t>1990-10-23</t>
        </is>
      </c>
      <c r="AA348" t="n">
        <v>332</v>
      </c>
      <c r="AB348" t="n">
        <v>305</v>
      </c>
      <c r="AC348" t="n">
        <v>1362</v>
      </c>
      <c r="AD348" t="n">
        <v>3</v>
      </c>
      <c r="AE348" t="n">
        <v>11</v>
      </c>
      <c r="AF348" t="n">
        <v>16</v>
      </c>
      <c r="AG348" t="n">
        <v>66</v>
      </c>
      <c r="AH348" t="n">
        <v>5</v>
      </c>
      <c r="AI348" t="n">
        <v>18</v>
      </c>
      <c r="AJ348" t="n">
        <v>0</v>
      </c>
      <c r="AK348" t="n">
        <v>8</v>
      </c>
      <c r="AL348" t="n">
        <v>5</v>
      </c>
      <c r="AM348" t="n">
        <v>21</v>
      </c>
      <c r="AN348" t="n">
        <v>1</v>
      </c>
      <c r="AO348" t="n">
        <v>7</v>
      </c>
      <c r="AP348" t="n">
        <v>8</v>
      </c>
      <c r="AQ348" t="n">
        <v>21</v>
      </c>
      <c r="AR348" t="inlineStr">
        <is>
          <t>No</t>
        </is>
      </c>
      <c r="AS348" t="inlineStr">
        <is>
          <t>Yes</t>
        </is>
      </c>
      <c r="AT348">
        <f>HYPERLINK("http://catalog.hathitrust.org/Record/002205688","HathiTrust Record")</f>
        <v/>
      </c>
      <c r="AU348">
        <f>HYPERLINK("https://creighton-primo.hosted.exlibrisgroup.com/primo-explore/search?tab=default_tab&amp;search_scope=EVERYTHING&amp;vid=01CRU&amp;lang=en_US&amp;offset=0&amp;query=any,contains,991000771819702656","Catalog Record")</f>
        <v/>
      </c>
      <c r="AV348">
        <f>HYPERLINK("http://www.worldcat.org/oclc/21333630","WorldCat Record")</f>
        <v/>
      </c>
      <c r="AW348" t="inlineStr">
        <is>
          <t>357196:eng</t>
        </is>
      </c>
      <c r="AX348" t="inlineStr">
        <is>
          <t>21333630</t>
        </is>
      </c>
      <c r="AY348" t="inlineStr">
        <is>
          <t>991000771819702656</t>
        </is>
      </c>
      <c r="AZ348" t="inlineStr">
        <is>
          <t>991000771819702656</t>
        </is>
      </c>
      <c r="BA348" t="inlineStr">
        <is>
          <t>2257923010002656</t>
        </is>
      </c>
      <c r="BB348" t="inlineStr">
        <is>
          <t>BOOK</t>
        </is>
      </c>
      <c r="BD348" t="inlineStr">
        <is>
          <t>9780834201613</t>
        </is>
      </c>
      <c r="BE348" t="inlineStr">
        <is>
          <t>30001002062281</t>
        </is>
      </c>
      <c r="BF348" t="inlineStr">
        <is>
          <t>893731186</t>
        </is>
      </c>
    </row>
    <row r="349">
      <c r="A349" t="inlineStr">
        <is>
          <t>No</t>
        </is>
      </c>
      <c r="B349" t="inlineStr">
        <is>
          <t>CUHSL</t>
        </is>
      </c>
      <c r="C349" t="inlineStr">
        <is>
          <t>SHELVES</t>
        </is>
      </c>
      <c r="D349" t="inlineStr">
        <is>
          <t>W 44 R813m 1993</t>
        </is>
      </c>
      <c r="E349" t="inlineStr">
        <is>
          <t>0                      W  0044000R  813m        1993</t>
        </is>
      </c>
      <c r="F349" t="inlineStr">
        <is>
          <t>Malpractice solutions / James Rosenblum.</t>
        </is>
      </c>
      <c r="H349" t="inlineStr">
        <is>
          <t>No</t>
        </is>
      </c>
      <c r="I349" t="inlineStr">
        <is>
          <t>1</t>
        </is>
      </c>
      <c r="J349" t="inlineStr">
        <is>
          <t>No</t>
        </is>
      </c>
      <c r="K349" t="inlineStr">
        <is>
          <t>No</t>
        </is>
      </c>
      <c r="L349" t="inlineStr">
        <is>
          <t>0</t>
        </is>
      </c>
      <c r="M349" t="inlineStr">
        <is>
          <t>Rosenblum, James Borden.</t>
        </is>
      </c>
      <c r="N349" t="inlineStr">
        <is>
          <t>Knoxville, Tenn.? : Whittle Direct Books, c1993.</t>
        </is>
      </c>
      <c r="O349" t="inlineStr">
        <is>
          <t>1993</t>
        </is>
      </c>
      <c r="Q349" t="inlineStr">
        <is>
          <t>eng</t>
        </is>
      </c>
      <c r="R349" t="inlineStr">
        <is>
          <t>tnu</t>
        </is>
      </c>
      <c r="S349" t="inlineStr">
        <is>
          <t>Grand Rounds Press, 1053-6620</t>
        </is>
      </c>
      <c r="T349" t="inlineStr">
        <is>
          <t xml:space="preserve">W  </t>
        </is>
      </c>
      <c r="U349" t="n">
        <v>4</v>
      </c>
      <c r="V349" t="n">
        <v>4</v>
      </c>
      <c r="W349" t="inlineStr">
        <is>
          <t>1998-11-07</t>
        </is>
      </c>
      <c r="X349" t="inlineStr">
        <is>
          <t>1998-11-07</t>
        </is>
      </c>
      <c r="Y349" t="inlineStr">
        <is>
          <t>1993-08-27</t>
        </is>
      </c>
      <c r="Z349" t="inlineStr">
        <is>
          <t>1993-08-27</t>
        </is>
      </c>
      <c r="AA349" t="n">
        <v>90</v>
      </c>
      <c r="AB349" t="n">
        <v>90</v>
      </c>
      <c r="AC349" t="n">
        <v>90</v>
      </c>
      <c r="AD349" t="n">
        <v>1</v>
      </c>
      <c r="AE349" t="n">
        <v>1</v>
      </c>
      <c r="AF349" t="n">
        <v>0</v>
      </c>
      <c r="AG349" t="n">
        <v>0</v>
      </c>
      <c r="AH349" t="n">
        <v>0</v>
      </c>
      <c r="AI349" t="n">
        <v>0</v>
      </c>
      <c r="AJ349" t="n">
        <v>0</v>
      </c>
      <c r="AK349" t="n">
        <v>0</v>
      </c>
      <c r="AL349" t="n">
        <v>0</v>
      </c>
      <c r="AM349" t="n">
        <v>0</v>
      </c>
      <c r="AN349" t="n">
        <v>0</v>
      </c>
      <c r="AO349" t="n">
        <v>0</v>
      </c>
      <c r="AP349" t="n">
        <v>0</v>
      </c>
      <c r="AQ349" t="n">
        <v>0</v>
      </c>
      <c r="AR349" t="inlineStr">
        <is>
          <t>No</t>
        </is>
      </c>
      <c r="AS349" t="inlineStr">
        <is>
          <t>No</t>
        </is>
      </c>
      <c r="AU349">
        <f>HYPERLINK("https://creighton-primo.hosted.exlibrisgroup.com/primo-explore/search?tab=default_tab&amp;search_scope=EVERYTHING&amp;vid=01CRU&amp;lang=en_US&amp;offset=0&amp;query=any,contains,991001547669702656","Catalog Record")</f>
        <v/>
      </c>
      <c r="AV349">
        <f>HYPERLINK("http://www.worldcat.org/oclc/28685500","WorldCat Record")</f>
        <v/>
      </c>
      <c r="AW349" t="inlineStr">
        <is>
          <t>31330350:eng</t>
        </is>
      </c>
      <c r="AX349" t="inlineStr">
        <is>
          <t>28685500</t>
        </is>
      </c>
      <c r="AY349" t="inlineStr">
        <is>
          <t>991001547669702656</t>
        </is>
      </c>
      <c r="AZ349" t="inlineStr">
        <is>
          <t>991001547669702656</t>
        </is>
      </c>
      <c r="BA349" t="inlineStr">
        <is>
          <t>2255362450002656</t>
        </is>
      </c>
      <c r="BB349" t="inlineStr">
        <is>
          <t>BOOK</t>
        </is>
      </c>
      <c r="BD349" t="inlineStr">
        <is>
          <t>9781879736139</t>
        </is>
      </c>
      <c r="BE349" t="inlineStr">
        <is>
          <t>30001002643957</t>
        </is>
      </c>
      <c r="BF349" t="inlineStr">
        <is>
          <t>893826856</t>
        </is>
      </c>
    </row>
    <row r="350">
      <c r="A350" t="inlineStr">
        <is>
          <t>No</t>
        </is>
      </c>
      <c r="B350" t="inlineStr">
        <is>
          <t>CUHSL</t>
        </is>
      </c>
      <c r="C350" t="inlineStr">
        <is>
          <t>SHELVES</t>
        </is>
      </c>
      <c r="D350" t="inlineStr">
        <is>
          <t>W44 W896h 2004</t>
        </is>
      </c>
      <c r="E350" t="inlineStr">
        <is>
          <t>0                      W  0044000W  896h        2004</t>
        </is>
      </c>
      <c r="F350" t="inlineStr">
        <is>
          <t>Healing words : the power of apology in medicine / Michael S. Woods, Hilda J. Bruckner contributing author and researcher.</t>
        </is>
      </c>
      <c r="H350" t="inlineStr">
        <is>
          <t>No</t>
        </is>
      </c>
      <c r="I350" t="inlineStr">
        <is>
          <t>1</t>
        </is>
      </c>
      <c r="J350" t="inlineStr">
        <is>
          <t>No</t>
        </is>
      </c>
      <c r="K350" t="inlineStr">
        <is>
          <t>No</t>
        </is>
      </c>
      <c r="L350" t="inlineStr">
        <is>
          <t>0</t>
        </is>
      </c>
      <c r="M350" t="inlineStr">
        <is>
          <t>Woods, Michael S.</t>
        </is>
      </c>
      <c r="N350" t="inlineStr">
        <is>
          <t>Oak Park, Ill. : Doctors in Touch, 2004.</t>
        </is>
      </c>
      <c r="O350" t="inlineStr">
        <is>
          <t>2004</t>
        </is>
      </c>
      <c r="Q350" t="inlineStr">
        <is>
          <t>eng</t>
        </is>
      </c>
      <c r="R350" t="inlineStr">
        <is>
          <t>ilu</t>
        </is>
      </c>
      <c r="T350" t="inlineStr">
        <is>
          <t xml:space="preserve">W  </t>
        </is>
      </c>
      <c r="U350" t="n">
        <v>4</v>
      </c>
      <c r="V350" t="n">
        <v>4</v>
      </c>
      <c r="W350" t="inlineStr">
        <is>
          <t>2009-01-05</t>
        </is>
      </c>
      <c r="X350" t="inlineStr">
        <is>
          <t>2009-01-05</t>
        </is>
      </c>
      <c r="Y350" t="inlineStr">
        <is>
          <t>2007-02-19</t>
        </is>
      </c>
      <c r="Z350" t="inlineStr">
        <is>
          <t>2007-02-19</t>
        </is>
      </c>
      <c r="AA350" t="n">
        <v>52</v>
      </c>
      <c r="AB350" t="n">
        <v>50</v>
      </c>
      <c r="AC350" t="n">
        <v>96</v>
      </c>
      <c r="AD350" t="n">
        <v>1</v>
      </c>
      <c r="AE350" t="n">
        <v>2</v>
      </c>
      <c r="AF350" t="n">
        <v>2</v>
      </c>
      <c r="AG350" t="n">
        <v>4</v>
      </c>
      <c r="AH350" t="n">
        <v>1</v>
      </c>
      <c r="AI350" t="n">
        <v>1</v>
      </c>
      <c r="AJ350" t="n">
        <v>1</v>
      </c>
      <c r="AK350" t="n">
        <v>1</v>
      </c>
      <c r="AL350" t="n">
        <v>0</v>
      </c>
      <c r="AM350" t="n">
        <v>1</v>
      </c>
      <c r="AN350" t="n">
        <v>0</v>
      </c>
      <c r="AO350" t="n">
        <v>1</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HYPERLINK("https://creighton-primo.hosted.exlibrisgroup.com/primo-explore/search?tab=default_tab&amp;search_scope=EVERYTHING&amp;vid=01CRU&amp;lang=en_US&amp;offset=0&amp;query=any,contains,991001747909702656","Catalog Record")</f>
        <v/>
      </c>
      <c r="AV350">
        <f>HYPERLINK("http://www.worldcat.org/oclc/56900067","WorldCat Record")</f>
        <v/>
      </c>
      <c r="AW350" t="inlineStr">
        <is>
          <t>238722248:eng</t>
        </is>
      </c>
      <c r="AX350" t="inlineStr">
        <is>
          <t>56900067</t>
        </is>
      </c>
      <c r="AY350" t="inlineStr">
        <is>
          <t>991001747909702656</t>
        </is>
      </c>
      <c r="AZ350" t="inlineStr">
        <is>
          <t>991001747909702656</t>
        </is>
      </c>
      <c r="BA350" t="inlineStr">
        <is>
          <t>2270792670002656</t>
        </is>
      </c>
      <c r="BB350" t="inlineStr">
        <is>
          <t>BOOK</t>
        </is>
      </c>
      <c r="BD350" t="inlineStr">
        <is>
          <t>9780975519608</t>
        </is>
      </c>
      <c r="BE350" t="inlineStr">
        <is>
          <t>30001005212420</t>
        </is>
      </c>
      <c r="BF350" t="inlineStr">
        <is>
          <t>893552877</t>
        </is>
      </c>
    </row>
    <row r="351">
      <c r="A351" t="inlineStr">
        <is>
          <t>No</t>
        </is>
      </c>
      <c r="B351" t="inlineStr">
        <is>
          <t>CUHSL</t>
        </is>
      </c>
      <c r="C351" t="inlineStr">
        <is>
          <t>SHELVES</t>
        </is>
      </c>
      <c r="D351" t="inlineStr">
        <is>
          <t>W 49 A547a 1997</t>
        </is>
      </c>
      <c r="E351" t="inlineStr">
        <is>
          <t>0                      W  0049000A  547a        1997</t>
        </is>
      </c>
      <c r="F351" t="inlineStr">
        <is>
          <t>After residency : the young physician's guide to the universe / by Joan L. Anderson.</t>
        </is>
      </c>
      <c r="H351" t="inlineStr">
        <is>
          <t>No</t>
        </is>
      </c>
      <c r="I351" t="inlineStr">
        <is>
          <t>1</t>
        </is>
      </c>
      <c r="J351" t="inlineStr">
        <is>
          <t>No</t>
        </is>
      </c>
      <c r="K351" t="inlineStr">
        <is>
          <t>No</t>
        </is>
      </c>
      <c r="L351" t="inlineStr">
        <is>
          <t>0</t>
        </is>
      </c>
      <c r="M351" t="inlineStr">
        <is>
          <t>Anderson, Joan L.</t>
        </is>
      </c>
      <c r="N351" t="inlineStr">
        <is>
          <t>Birmingham, Mich. : Physicians' Press, c1997.</t>
        </is>
      </c>
      <c r="O351" t="inlineStr">
        <is>
          <t>1997</t>
        </is>
      </c>
      <c r="Q351" t="inlineStr">
        <is>
          <t>eng</t>
        </is>
      </c>
      <c r="R351" t="inlineStr">
        <is>
          <t>miu</t>
        </is>
      </c>
      <c r="T351" t="inlineStr">
        <is>
          <t xml:space="preserve">W  </t>
        </is>
      </c>
      <c r="U351" t="n">
        <v>5</v>
      </c>
      <c r="V351" t="n">
        <v>5</v>
      </c>
      <c r="W351" t="inlineStr">
        <is>
          <t>2008-10-22</t>
        </is>
      </c>
      <c r="X351" t="inlineStr">
        <is>
          <t>2008-10-22</t>
        </is>
      </c>
      <c r="Y351" t="inlineStr">
        <is>
          <t>1999-11-16</t>
        </is>
      </c>
      <c r="Z351" t="inlineStr">
        <is>
          <t>1999-11-16</t>
        </is>
      </c>
      <c r="AA351" t="n">
        <v>29</v>
      </c>
      <c r="AB351" t="n">
        <v>26</v>
      </c>
      <c r="AC351" t="n">
        <v>26</v>
      </c>
      <c r="AD351" t="n">
        <v>1</v>
      </c>
      <c r="AE351" t="n">
        <v>1</v>
      </c>
      <c r="AF351" t="n">
        <v>0</v>
      </c>
      <c r="AG351" t="n">
        <v>0</v>
      </c>
      <c r="AH351" t="n">
        <v>0</v>
      </c>
      <c r="AI351" t="n">
        <v>0</v>
      </c>
      <c r="AJ351" t="n">
        <v>0</v>
      </c>
      <c r="AK351" t="n">
        <v>0</v>
      </c>
      <c r="AL351" t="n">
        <v>0</v>
      </c>
      <c r="AM351" t="n">
        <v>0</v>
      </c>
      <c r="AN351" t="n">
        <v>0</v>
      </c>
      <c r="AO351" t="n">
        <v>0</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HYPERLINK("https://creighton-primo.hosted.exlibrisgroup.com/primo-explore/search?tab=default_tab&amp;search_scope=EVERYTHING&amp;vid=01CRU&amp;lang=en_US&amp;offset=0&amp;query=any,contains,991001409219702656","Catalog Record")</f>
        <v/>
      </c>
      <c r="AV351">
        <f>HYPERLINK("http://www.worldcat.org/oclc/38117313","WorldCat Record")</f>
        <v/>
      </c>
      <c r="AW351" t="inlineStr">
        <is>
          <t>3123184:eng</t>
        </is>
      </c>
      <c r="AX351" t="inlineStr">
        <is>
          <t>38117313</t>
        </is>
      </c>
      <c r="AY351" t="inlineStr">
        <is>
          <t>991001409219702656</t>
        </is>
      </c>
      <c r="AZ351" t="inlineStr">
        <is>
          <t>991001409219702656</t>
        </is>
      </c>
      <c r="BA351" t="inlineStr">
        <is>
          <t>2267014050002656</t>
        </is>
      </c>
      <c r="BB351" t="inlineStr">
        <is>
          <t>BOOK</t>
        </is>
      </c>
      <c r="BD351" t="inlineStr">
        <is>
          <t>9781890114015</t>
        </is>
      </c>
      <c r="BE351" t="inlineStr">
        <is>
          <t>30001003830348</t>
        </is>
      </c>
      <c r="BF351" t="inlineStr">
        <is>
          <t>893643550</t>
        </is>
      </c>
    </row>
    <row r="352">
      <c r="A352" t="inlineStr">
        <is>
          <t>No</t>
        </is>
      </c>
      <c r="B352" t="inlineStr">
        <is>
          <t>CUHSL</t>
        </is>
      </c>
      <c r="C352" t="inlineStr">
        <is>
          <t>SHELVES</t>
        </is>
      </c>
      <c r="D352" t="inlineStr">
        <is>
          <t>W49 D963c 2001</t>
        </is>
      </c>
      <c r="E352" t="inlineStr">
        <is>
          <t>0                      W  0049000D  963c        2001</t>
        </is>
      </c>
      <c r="F352" t="inlineStr">
        <is>
          <t>Consumer health : a guide to Internet information resources / compiled by Cecilia Durkin.</t>
        </is>
      </c>
      <c r="H352" t="inlineStr">
        <is>
          <t>No</t>
        </is>
      </c>
      <c r="I352" t="inlineStr">
        <is>
          <t>1</t>
        </is>
      </c>
      <c r="J352" t="inlineStr">
        <is>
          <t>No</t>
        </is>
      </c>
      <c r="K352" t="inlineStr">
        <is>
          <t>No</t>
        </is>
      </c>
      <c r="L352" t="inlineStr">
        <is>
          <t>0</t>
        </is>
      </c>
      <c r="M352" t="inlineStr">
        <is>
          <t>Durkin, Cecilia.</t>
        </is>
      </c>
      <c r="N352" t="inlineStr">
        <is>
          <t>Chicago, Ill. : Medical Library Association, c2001.</t>
        </is>
      </c>
      <c r="O352" t="inlineStr">
        <is>
          <t>2001</t>
        </is>
      </c>
      <c r="Q352" t="inlineStr">
        <is>
          <t>eng</t>
        </is>
      </c>
      <c r="R352" t="inlineStr">
        <is>
          <t>ilu</t>
        </is>
      </c>
      <c r="S352" t="inlineStr">
        <is>
          <t>MLA BibKit ; 7</t>
        </is>
      </c>
      <c r="T352" t="inlineStr">
        <is>
          <t xml:space="preserve">W  </t>
        </is>
      </c>
      <c r="U352" t="n">
        <v>1</v>
      </c>
      <c r="V352" t="n">
        <v>1</v>
      </c>
      <c r="W352" t="inlineStr">
        <is>
          <t>2003-04-15</t>
        </is>
      </c>
      <c r="X352" t="inlineStr">
        <is>
          <t>2003-04-15</t>
        </is>
      </c>
      <c r="Y352" t="inlineStr">
        <is>
          <t>2002-07-02</t>
        </is>
      </c>
      <c r="Z352" t="inlineStr">
        <is>
          <t>2002-07-02</t>
        </is>
      </c>
      <c r="AA352" t="n">
        <v>52</v>
      </c>
      <c r="AB352" t="n">
        <v>46</v>
      </c>
      <c r="AC352" t="n">
        <v>46</v>
      </c>
      <c r="AD352" t="n">
        <v>1</v>
      </c>
      <c r="AE352" t="n">
        <v>1</v>
      </c>
      <c r="AF352" t="n">
        <v>2</v>
      </c>
      <c r="AG352" t="n">
        <v>2</v>
      </c>
      <c r="AH352" t="n">
        <v>1</v>
      </c>
      <c r="AI352" t="n">
        <v>1</v>
      </c>
      <c r="AJ352" t="n">
        <v>0</v>
      </c>
      <c r="AK352" t="n">
        <v>0</v>
      </c>
      <c r="AL352" t="n">
        <v>1</v>
      </c>
      <c r="AM352" t="n">
        <v>1</v>
      </c>
      <c r="AN352" t="n">
        <v>0</v>
      </c>
      <c r="AO352" t="n">
        <v>0</v>
      </c>
      <c r="AP352" t="n">
        <v>0</v>
      </c>
      <c r="AQ352" t="n">
        <v>0</v>
      </c>
      <c r="AR352" t="inlineStr">
        <is>
          <t>No</t>
        </is>
      </c>
      <c r="AS352" t="inlineStr">
        <is>
          <t>No</t>
        </is>
      </c>
      <c r="AU352">
        <f>HYPERLINK("https://creighton-primo.hosted.exlibrisgroup.com/primo-explore/search?tab=default_tab&amp;search_scope=EVERYTHING&amp;vid=01CRU&amp;lang=en_US&amp;offset=0&amp;query=any,contains,991000321709702656","Catalog Record")</f>
        <v/>
      </c>
      <c r="AV352">
        <f>HYPERLINK("http://www.worldcat.org/oclc/47290246","WorldCat Record")</f>
        <v/>
      </c>
      <c r="AW352" t="inlineStr">
        <is>
          <t>341281044:eng</t>
        </is>
      </c>
      <c r="AX352" t="inlineStr">
        <is>
          <t>47290246</t>
        </is>
      </c>
      <c r="AY352" t="inlineStr">
        <is>
          <t>991000321709702656</t>
        </is>
      </c>
      <c r="AZ352" t="inlineStr">
        <is>
          <t>991000321709702656</t>
        </is>
      </c>
      <c r="BA352" t="inlineStr">
        <is>
          <t>22101747350002656</t>
        </is>
      </c>
      <c r="BB352" t="inlineStr">
        <is>
          <t>BOOK</t>
        </is>
      </c>
      <c r="BE352" t="inlineStr">
        <is>
          <t>30001004442879</t>
        </is>
      </c>
      <c r="BF352" t="inlineStr">
        <is>
          <t>893542254</t>
        </is>
      </c>
    </row>
    <row r="353">
      <c r="A353" t="inlineStr">
        <is>
          <t>No</t>
        </is>
      </c>
      <c r="B353" t="inlineStr">
        <is>
          <t>CUHSL</t>
        </is>
      </c>
      <c r="C353" t="inlineStr">
        <is>
          <t>SHELVES</t>
        </is>
      </c>
      <c r="D353" t="inlineStr">
        <is>
          <t>W 49 L154c 1999</t>
        </is>
      </c>
      <c r="E353" t="inlineStr">
        <is>
          <t>0                      W  0049000L  154c        1999</t>
        </is>
      </c>
      <c r="F353" t="inlineStr">
        <is>
          <t>The consultation guide / Paul W. Ladenson.</t>
        </is>
      </c>
      <c r="H353" t="inlineStr">
        <is>
          <t>No</t>
        </is>
      </c>
      <c r="I353" t="inlineStr">
        <is>
          <t>1</t>
        </is>
      </c>
      <c r="J353" t="inlineStr">
        <is>
          <t>No</t>
        </is>
      </c>
      <c r="K353" t="inlineStr">
        <is>
          <t>No</t>
        </is>
      </c>
      <c r="L353" t="inlineStr">
        <is>
          <t>0</t>
        </is>
      </c>
      <c r="M353" t="inlineStr">
        <is>
          <t>Ladenson, Paul W.</t>
        </is>
      </c>
      <c r="N353" t="inlineStr">
        <is>
          <t>Philadelphia : Williams &amp; Wilkins, c1998.</t>
        </is>
      </c>
      <c r="O353" t="inlineStr">
        <is>
          <t>1998</t>
        </is>
      </c>
      <c r="Q353" t="inlineStr">
        <is>
          <t>eng</t>
        </is>
      </c>
      <c r="R353" t="inlineStr">
        <is>
          <t>mdu</t>
        </is>
      </c>
      <c r="T353" t="inlineStr">
        <is>
          <t xml:space="preserve">W  </t>
        </is>
      </c>
      <c r="U353" t="n">
        <v>1</v>
      </c>
      <c r="V353" t="n">
        <v>1</v>
      </c>
      <c r="W353" t="inlineStr">
        <is>
          <t>2000-04-14</t>
        </is>
      </c>
      <c r="X353" t="inlineStr">
        <is>
          <t>2000-04-14</t>
        </is>
      </c>
      <c r="Y353" t="inlineStr">
        <is>
          <t>2000-04-13</t>
        </is>
      </c>
      <c r="Z353" t="inlineStr">
        <is>
          <t>2000-04-13</t>
        </is>
      </c>
      <c r="AA353" t="n">
        <v>51</v>
      </c>
      <c r="AB353" t="n">
        <v>47</v>
      </c>
      <c r="AC353" t="n">
        <v>52</v>
      </c>
      <c r="AD353" t="n">
        <v>1</v>
      </c>
      <c r="AE353" t="n">
        <v>1</v>
      </c>
      <c r="AF353" t="n">
        <v>1</v>
      </c>
      <c r="AG353" t="n">
        <v>1</v>
      </c>
      <c r="AH353" t="n">
        <v>1</v>
      </c>
      <c r="AI353" t="n">
        <v>1</v>
      </c>
      <c r="AJ353" t="n">
        <v>0</v>
      </c>
      <c r="AK353" t="n">
        <v>0</v>
      </c>
      <c r="AL353" t="n">
        <v>0</v>
      </c>
      <c r="AM353" t="n">
        <v>0</v>
      </c>
      <c r="AN353" t="n">
        <v>0</v>
      </c>
      <c r="AO353" t="n">
        <v>0</v>
      </c>
      <c r="AP353" t="n">
        <v>0</v>
      </c>
      <c r="AQ353" t="n">
        <v>0</v>
      </c>
      <c r="AR353" t="inlineStr">
        <is>
          <t>No</t>
        </is>
      </c>
      <c r="AS353" t="inlineStr">
        <is>
          <t>Yes</t>
        </is>
      </c>
      <c r="AT353">
        <f>HYPERLINK("http://catalog.hathitrust.org/Record/004034416","HathiTrust Record")</f>
        <v/>
      </c>
      <c r="AU353">
        <f>HYPERLINK("https://creighton-primo.hosted.exlibrisgroup.com/primo-explore/search?tab=default_tab&amp;search_scope=EVERYTHING&amp;vid=01CRU&amp;lang=en_US&amp;offset=0&amp;query=any,contains,991001445269702656","Catalog Record")</f>
        <v/>
      </c>
      <c r="AV353">
        <f>HYPERLINK("http://www.worldcat.org/oclc/39094266","WorldCat Record")</f>
        <v/>
      </c>
      <c r="AW353" t="inlineStr">
        <is>
          <t>27619639:eng</t>
        </is>
      </c>
      <c r="AX353" t="inlineStr">
        <is>
          <t>39094266</t>
        </is>
      </c>
      <c r="AY353" t="inlineStr">
        <is>
          <t>991001445269702656</t>
        </is>
      </c>
      <c r="AZ353" t="inlineStr">
        <is>
          <t>991001445269702656</t>
        </is>
      </c>
      <c r="BA353" t="inlineStr">
        <is>
          <t>2271508960002656</t>
        </is>
      </c>
      <c r="BB353" t="inlineStr">
        <is>
          <t>BOOK</t>
        </is>
      </c>
      <c r="BD353" t="inlineStr">
        <is>
          <t>9780683305258</t>
        </is>
      </c>
      <c r="BE353" t="inlineStr">
        <is>
          <t>30001003884303</t>
        </is>
      </c>
      <c r="BF353" t="inlineStr">
        <is>
          <t>893561036</t>
        </is>
      </c>
    </row>
    <row r="354">
      <c r="A354" t="inlineStr">
        <is>
          <t>No</t>
        </is>
      </c>
      <c r="B354" t="inlineStr">
        <is>
          <t>CUHSL</t>
        </is>
      </c>
      <c r="C354" t="inlineStr">
        <is>
          <t>SHELVES</t>
        </is>
      </c>
      <c r="D354" t="inlineStr">
        <is>
          <t>W 49 N877h 2003</t>
        </is>
      </c>
      <c r="E354" t="inlineStr">
        <is>
          <t>0                      W  0049000N  877h        2003</t>
        </is>
      </c>
      <c r="F354" t="inlineStr">
        <is>
          <t>Health insurance resources : a guide for people with a chronic disease or disability / Dorothy E. Northrop, Stephen Cooper.</t>
        </is>
      </c>
      <c r="H354" t="inlineStr">
        <is>
          <t>No</t>
        </is>
      </c>
      <c r="I354" t="inlineStr">
        <is>
          <t>1</t>
        </is>
      </c>
      <c r="J354" t="inlineStr">
        <is>
          <t>No</t>
        </is>
      </c>
      <c r="K354" t="inlineStr">
        <is>
          <t>No</t>
        </is>
      </c>
      <c r="L354" t="inlineStr">
        <is>
          <t>1</t>
        </is>
      </c>
      <c r="M354" t="inlineStr">
        <is>
          <t>Northrop, Dorothy E., 1942-</t>
        </is>
      </c>
      <c r="N354" t="inlineStr">
        <is>
          <t>New York : Demos Medical Pub., c2003.</t>
        </is>
      </c>
      <c r="O354" t="inlineStr">
        <is>
          <t>2003</t>
        </is>
      </c>
      <c r="Q354" t="inlineStr">
        <is>
          <t>eng</t>
        </is>
      </c>
      <c r="R354" t="inlineStr">
        <is>
          <t>nyu</t>
        </is>
      </c>
      <c r="T354" t="inlineStr">
        <is>
          <t xml:space="preserve">W  </t>
        </is>
      </c>
      <c r="U354" t="n">
        <v>1</v>
      </c>
      <c r="V354" t="n">
        <v>1</v>
      </c>
      <c r="W354" t="inlineStr">
        <is>
          <t>2004-11-16</t>
        </is>
      </c>
      <c r="X354" t="inlineStr">
        <is>
          <t>2004-11-16</t>
        </is>
      </c>
      <c r="Y354" t="inlineStr">
        <is>
          <t>2004-08-26</t>
        </is>
      </c>
      <c r="Z354" t="inlineStr">
        <is>
          <t>2004-08-26</t>
        </is>
      </c>
      <c r="AA354" t="n">
        <v>198</v>
      </c>
      <c r="AB354" t="n">
        <v>196</v>
      </c>
      <c r="AC354" t="n">
        <v>1388</v>
      </c>
      <c r="AD354" t="n">
        <v>1</v>
      </c>
      <c r="AE354" t="n">
        <v>14</v>
      </c>
      <c r="AF354" t="n">
        <v>2</v>
      </c>
      <c r="AG354" t="n">
        <v>41</v>
      </c>
      <c r="AH354" t="n">
        <v>0</v>
      </c>
      <c r="AI354" t="n">
        <v>11</v>
      </c>
      <c r="AJ354" t="n">
        <v>1</v>
      </c>
      <c r="AK354" t="n">
        <v>10</v>
      </c>
      <c r="AL354" t="n">
        <v>1</v>
      </c>
      <c r="AM354" t="n">
        <v>11</v>
      </c>
      <c r="AN354" t="n">
        <v>0</v>
      </c>
      <c r="AO354" t="n">
        <v>12</v>
      </c>
      <c r="AP354" t="n">
        <v>0</v>
      </c>
      <c r="AQ354" t="n">
        <v>3</v>
      </c>
      <c r="AR354" t="inlineStr">
        <is>
          <t>No</t>
        </is>
      </c>
      <c r="AS354" t="inlineStr">
        <is>
          <t>No</t>
        </is>
      </c>
      <c r="AU354">
        <f>HYPERLINK("https://creighton-primo.hosted.exlibrisgroup.com/primo-explore/search?tab=default_tab&amp;search_scope=EVERYTHING&amp;vid=01CRU&amp;lang=en_US&amp;offset=0&amp;query=any,contains,991000378699702656","Catalog Record")</f>
        <v/>
      </c>
      <c r="AV354">
        <f>HYPERLINK("http://www.worldcat.org/oclc/50554782","WorldCat Record")</f>
        <v/>
      </c>
      <c r="AW354" t="inlineStr">
        <is>
          <t>797250806:eng</t>
        </is>
      </c>
      <c r="AX354" t="inlineStr">
        <is>
          <t>50554782</t>
        </is>
      </c>
      <c r="AY354" t="inlineStr">
        <is>
          <t>991000378699702656</t>
        </is>
      </c>
      <c r="AZ354" t="inlineStr">
        <is>
          <t>991000378699702656</t>
        </is>
      </c>
      <c r="BA354" t="inlineStr">
        <is>
          <t>2256025690002656</t>
        </is>
      </c>
      <c r="BB354" t="inlineStr">
        <is>
          <t>BOOK</t>
        </is>
      </c>
      <c r="BD354" t="inlineStr">
        <is>
          <t>9781888799699</t>
        </is>
      </c>
      <c r="BE354" t="inlineStr">
        <is>
          <t>30001004219715</t>
        </is>
      </c>
      <c r="BF354" t="inlineStr">
        <is>
          <t>893375496</t>
        </is>
      </c>
    </row>
    <row r="355">
      <c r="A355" t="inlineStr">
        <is>
          <t>No</t>
        </is>
      </c>
      <c r="B355" t="inlineStr">
        <is>
          <t>CUHSL</t>
        </is>
      </c>
      <c r="C355" t="inlineStr">
        <is>
          <t>SHELVES</t>
        </is>
      </c>
      <c r="D355" t="inlineStr">
        <is>
          <t>W 50 A182c 1989</t>
        </is>
      </c>
      <c r="E355" t="inlineStr">
        <is>
          <t>0                      W  0050000A  182c        1989</t>
        </is>
      </c>
      <c r="F355" t="inlineStr">
        <is>
          <t>A casebook of medical ethics / by Terrence F. Ackerman and Carson Strong.</t>
        </is>
      </c>
      <c r="H355" t="inlineStr">
        <is>
          <t>No</t>
        </is>
      </c>
      <c r="I355" t="inlineStr">
        <is>
          <t>1</t>
        </is>
      </c>
      <c r="J355" t="inlineStr">
        <is>
          <t>No</t>
        </is>
      </c>
      <c r="K355" t="inlineStr">
        <is>
          <t>No</t>
        </is>
      </c>
      <c r="L355" t="inlineStr">
        <is>
          <t>0</t>
        </is>
      </c>
      <c r="M355" t="inlineStr">
        <is>
          <t>Ackerman, Terrence F., 1949-</t>
        </is>
      </c>
      <c r="N355" t="inlineStr">
        <is>
          <t>New York : Oxford University Press, c1989.</t>
        </is>
      </c>
      <c r="O355" t="inlineStr">
        <is>
          <t>1989</t>
        </is>
      </c>
      <c r="Q355" t="inlineStr">
        <is>
          <t>eng</t>
        </is>
      </c>
      <c r="R355" t="inlineStr">
        <is>
          <t>xxu</t>
        </is>
      </c>
      <c r="T355" t="inlineStr">
        <is>
          <t xml:space="preserve">W  </t>
        </is>
      </c>
      <c r="U355" t="n">
        <v>32</v>
      </c>
      <c r="V355" t="n">
        <v>32</v>
      </c>
      <c r="W355" t="inlineStr">
        <is>
          <t>2006-02-09</t>
        </is>
      </c>
      <c r="X355" t="inlineStr">
        <is>
          <t>2006-02-09</t>
        </is>
      </c>
      <c r="Y355" t="inlineStr">
        <is>
          <t>1989-12-14</t>
        </is>
      </c>
      <c r="Z355" t="inlineStr">
        <is>
          <t>1989-12-14</t>
        </is>
      </c>
      <c r="AA355" t="n">
        <v>520</v>
      </c>
      <c r="AB355" t="n">
        <v>410</v>
      </c>
      <c r="AC355" t="n">
        <v>415</v>
      </c>
      <c r="AD355" t="n">
        <v>4</v>
      </c>
      <c r="AE355" t="n">
        <v>4</v>
      </c>
      <c r="AF355" t="n">
        <v>31</v>
      </c>
      <c r="AG355" t="n">
        <v>31</v>
      </c>
      <c r="AH355" t="n">
        <v>12</v>
      </c>
      <c r="AI355" t="n">
        <v>12</v>
      </c>
      <c r="AJ355" t="n">
        <v>4</v>
      </c>
      <c r="AK355" t="n">
        <v>4</v>
      </c>
      <c r="AL355" t="n">
        <v>15</v>
      </c>
      <c r="AM355" t="n">
        <v>15</v>
      </c>
      <c r="AN355" t="n">
        <v>3</v>
      </c>
      <c r="AO355" t="n">
        <v>3</v>
      </c>
      <c r="AP355" t="n">
        <v>4</v>
      </c>
      <c r="AQ355" t="n">
        <v>4</v>
      </c>
      <c r="AR355" t="inlineStr">
        <is>
          <t>No</t>
        </is>
      </c>
      <c r="AS355" t="inlineStr">
        <is>
          <t>No</t>
        </is>
      </c>
      <c r="AU355">
        <f>HYPERLINK("https://creighton-primo.hosted.exlibrisgroup.com/primo-explore/search?tab=default_tab&amp;search_scope=EVERYTHING&amp;vid=01CRU&amp;lang=en_US&amp;offset=0&amp;query=any,contains,991001381089702656","Catalog Record")</f>
        <v/>
      </c>
      <c r="AV355">
        <f>HYPERLINK("http://www.worldcat.org/oclc/19456397","WorldCat Record")</f>
        <v/>
      </c>
      <c r="AW355" t="inlineStr">
        <is>
          <t>20136995:eng</t>
        </is>
      </c>
      <c r="AX355" t="inlineStr">
        <is>
          <t>19456397</t>
        </is>
      </c>
      <c r="AY355" t="inlineStr">
        <is>
          <t>991001381089702656</t>
        </is>
      </c>
      <c r="AZ355" t="inlineStr">
        <is>
          <t>991001381089702656</t>
        </is>
      </c>
      <c r="BA355" t="inlineStr">
        <is>
          <t>2264086290002656</t>
        </is>
      </c>
      <c r="BB355" t="inlineStr">
        <is>
          <t>BOOK</t>
        </is>
      </c>
      <c r="BD355" t="inlineStr">
        <is>
          <t>9780195039160</t>
        </is>
      </c>
      <c r="BE355" t="inlineStr">
        <is>
          <t>30001001798786</t>
        </is>
      </c>
      <c r="BF355" t="inlineStr">
        <is>
          <t>893821159</t>
        </is>
      </c>
    </row>
    <row r="356">
      <c r="A356" t="inlineStr">
        <is>
          <t>No</t>
        </is>
      </c>
      <c r="B356" t="inlineStr">
        <is>
          <t>CUHSL</t>
        </is>
      </c>
      <c r="C356" t="inlineStr">
        <is>
          <t>SHELVES</t>
        </is>
      </c>
      <c r="D356" t="inlineStr">
        <is>
          <t>W 50 A244 1985</t>
        </is>
      </c>
      <c r="E356" t="inlineStr">
        <is>
          <t>0                      W  0050000A  244         1985</t>
        </is>
      </c>
      <c r="F356" t="inlineStr">
        <is>
          <t>Advance directives in medicine / edited by Chris Hackler, Ray Moseley, and Dorothy E. Vawter.</t>
        </is>
      </c>
      <c r="H356" t="inlineStr">
        <is>
          <t>No</t>
        </is>
      </c>
      <c r="I356" t="inlineStr">
        <is>
          <t>1</t>
        </is>
      </c>
      <c r="J356" t="inlineStr">
        <is>
          <t>No</t>
        </is>
      </c>
      <c r="K356" t="inlineStr">
        <is>
          <t>No</t>
        </is>
      </c>
      <c r="L356" t="inlineStr">
        <is>
          <t>0</t>
        </is>
      </c>
      <c r="N356" t="inlineStr">
        <is>
          <t>New York : Praeger, c1989.</t>
        </is>
      </c>
      <c r="O356" t="inlineStr">
        <is>
          <t>1989</t>
        </is>
      </c>
      <c r="Q356" t="inlineStr">
        <is>
          <t>eng</t>
        </is>
      </c>
      <c r="R356" t="inlineStr">
        <is>
          <t>xxu</t>
        </is>
      </c>
      <c r="S356" t="inlineStr">
        <is>
          <t>Studies in health and human values ; v. 2</t>
        </is>
      </c>
      <c r="T356" t="inlineStr">
        <is>
          <t xml:space="preserve">W  </t>
        </is>
      </c>
      <c r="U356" t="n">
        <v>17</v>
      </c>
      <c r="V356" t="n">
        <v>17</v>
      </c>
      <c r="W356" t="inlineStr">
        <is>
          <t>2002-04-11</t>
        </is>
      </c>
      <c r="X356" t="inlineStr">
        <is>
          <t>2002-04-11</t>
        </is>
      </c>
      <c r="Y356" t="inlineStr">
        <is>
          <t>1990-06-15</t>
        </is>
      </c>
      <c r="Z356" t="inlineStr">
        <is>
          <t>1990-06-15</t>
        </is>
      </c>
      <c r="AA356" t="n">
        <v>131</v>
      </c>
      <c r="AB356" t="n">
        <v>112</v>
      </c>
      <c r="AC356" t="n">
        <v>114</v>
      </c>
      <c r="AD356" t="n">
        <v>1</v>
      </c>
      <c r="AE356" t="n">
        <v>1</v>
      </c>
      <c r="AF356" t="n">
        <v>4</v>
      </c>
      <c r="AG356" t="n">
        <v>4</v>
      </c>
      <c r="AH356" t="n">
        <v>0</v>
      </c>
      <c r="AI356" t="n">
        <v>0</v>
      </c>
      <c r="AJ356" t="n">
        <v>1</v>
      </c>
      <c r="AK356" t="n">
        <v>1</v>
      </c>
      <c r="AL356" t="n">
        <v>1</v>
      </c>
      <c r="AM356" t="n">
        <v>1</v>
      </c>
      <c r="AN356" t="n">
        <v>0</v>
      </c>
      <c r="AO356" t="n">
        <v>0</v>
      </c>
      <c r="AP356" t="n">
        <v>2</v>
      </c>
      <c r="AQ356" t="n">
        <v>2</v>
      </c>
      <c r="AR356" t="inlineStr">
        <is>
          <t>No</t>
        </is>
      </c>
      <c r="AS356" t="inlineStr">
        <is>
          <t>Yes</t>
        </is>
      </c>
      <c r="AT356">
        <f>HYPERLINK("http://catalog.hathitrust.org/Record/004475871","HathiTrust Record")</f>
        <v/>
      </c>
      <c r="AU356">
        <f>HYPERLINK("https://creighton-primo.hosted.exlibrisgroup.com/primo-explore/search?tab=default_tab&amp;search_scope=EVERYTHING&amp;vid=01CRU&amp;lang=en_US&amp;offset=0&amp;query=any,contains,991001449239702656","Catalog Record")</f>
        <v/>
      </c>
      <c r="AV356">
        <f>HYPERLINK("http://www.worldcat.org/oclc/19268679","WorldCat Record")</f>
        <v/>
      </c>
      <c r="AW356" t="inlineStr">
        <is>
          <t>431850315:eng</t>
        </is>
      </c>
      <c r="AX356" t="inlineStr">
        <is>
          <t>19268679</t>
        </is>
      </c>
      <c r="AY356" t="inlineStr">
        <is>
          <t>991001449239702656</t>
        </is>
      </c>
      <c r="AZ356" t="inlineStr">
        <is>
          <t>991001449239702656</t>
        </is>
      </c>
      <c r="BA356" t="inlineStr">
        <is>
          <t>2272426380002656</t>
        </is>
      </c>
      <c r="BB356" t="inlineStr">
        <is>
          <t>BOOK</t>
        </is>
      </c>
      <c r="BD356" t="inlineStr">
        <is>
          <t>9780275932336</t>
        </is>
      </c>
      <c r="BE356" t="inlineStr">
        <is>
          <t>30001001882309</t>
        </is>
      </c>
      <c r="BF356" t="inlineStr">
        <is>
          <t>893552514</t>
        </is>
      </c>
    </row>
    <row r="357">
      <c r="A357" t="inlineStr">
        <is>
          <t>No</t>
        </is>
      </c>
      <c r="B357" t="inlineStr">
        <is>
          <t>CUHSL</t>
        </is>
      </c>
      <c r="C357" t="inlineStr">
        <is>
          <t>SHELVES</t>
        </is>
      </c>
      <c r="D357" t="inlineStr">
        <is>
          <t>W 50 A333 1953</t>
        </is>
      </c>
      <c r="E357" t="inlineStr">
        <is>
          <t>0                      W  0050000A  333         1953</t>
        </is>
      </c>
      <c r="F357" t="inlineStr">
        <is>
          <t>Great traditions in ethics : an introduction / [By] Ethel M. Albert, Theodore C. Denise [and] Sheldon P. Peterfreund.</t>
        </is>
      </c>
      <c r="H357" t="inlineStr">
        <is>
          <t>No</t>
        </is>
      </c>
      <c r="I357" t="inlineStr">
        <is>
          <t>1</t>
        </is>
      </c>
      <c r="J357" t="inlineStr">
        <is>
          <t>No</t>
        </is>
      </c>
      <c r="K357" t="inlineStr">
        <is>
          <t>No</t>
        </is>
      </c>
      <c r="L357" t="inlineStr">
        <is>
          <t>0</t>
        </is>
      </c>
      <c r="M357" t="inlineStr">
        <is>
          <t>Albert, Ethel M. editor.</t>
        </is>
      </c>
      <c r="N357" t="inlineStr">
        <is>
          <t>[New York] : American Book Co., [1953]</t>
        </is>
      </c>
      <c r="O357" t="inlineStr">
        <is>
          <t>1953</t>
        </is>
      </c>
      <c r="Q357" t="inlineStr">
        <is>
          <t>eng</t>
        </is>
      </c>
      <c r="R357" t="inlineStr">
        <is>
          <t xml:space="preserve">xx </t>
        </is>
      </c>
      <c r="T357" t="inlineStr">
        <is>
          <t xml:space="preserve">W  </t>
        </is>
      </c>
      <c r="U357" t="n">
        <v>5</v>
      </c>
      <c r="V357" t="n">
        <v>5</v>
      </c>
      <c r="W357" t="inlineStr">
        <is>
          <t>1992-11-18</t>
        </is>
      </c>
      <c r="X357" t="inlineStr">
        <is>
          <t>1992-11-18</t>
        </is>
      </c>
      <c r="Y357" t="inlineStr">
        <is>
          <t>1987-10-02</t>
        </is>
      </c>
      <c r="Z357" t="inlineStr">
        <is>
          <t>1987-10-02</t>
        </is>
      </c>
      <c r="AA357" t="n">
        <v>441</v>
      </c>
      <c r="AB357" t="n">
        <v>390</v>
      </c>
      <c r="AC357" t="n">
        <v>527</v>
      </c>
      <c r="AD357" t="n">
        <v>4</v>
      </c>
      <c r="AE357" t="n">
        <v>6</v>
      </c>
      <c r="AF357" t="n">
        <v>18</v>
      </c>
      <c r="AG357" t="n">
        <v>23</v>
      </c>
      <c r="AH357" t="n">
        <v>9</v>
      </c>
      <c r="AI357" t="n">
        <v>10</v>
      </c>
      <c r="AJ357" t="n">
        <v>3</v>
      </c>
      <c r="AK357" t="n">
        <v>4</v>
      </c>
      <c r="AL357" t="n">
        <v>9</v>
      </c>
      <c r="AM357" t="n">
        <v>11</v>
      </c>
      <c r="AN357" t="n">
        <v>3</v>
      </c>
      <c r="AO357" t="n">
        <v>4</v>
      </c>
      <c r="AP357" t="n">
        <v>0</v>
      </c>
      <c r="AQ357" t="n">
        <v>0</v>
      </c>
      <c r="AR357" t="inlineStr">
        <is>
          <t>No</t>
        </is>
      </c>
      <c r="AS357" t="inlineStr">
        <is>
          <t>No</t>
        </is>
      </c>
      <c r="AT357">
        <f>HYPERLINK("http://catalog.hathitrust.org/Record/001396853","HathiTrust Record")</f>
        <v/>
      </c>
      <c r="AU357">
        <f>HYPERLINK("https://creighton-primo.hosted.exlibrisgroup.com/primo-explore/search?tab=default_tab&amp;search_scope=EVERYTHING&amp;vid=01CRU&amp;lang=en_US&amp;offset=0&amp;query=any,contains,991001182399702656","Catalog Record")</f>
        <v/>
      </c>
      <c r="AV357">
        <f>HYPERLINK("http://www.worldcat.org/oclc/1430259","WorldCat Record")</f>
        <v/>
      </c>
      <c r="AW357" t="inlineStr">
        <is>
          <t>3943707659:eng</t>
        </is>
      </c>
      <c r="AX357" t="inlineStr">
        <is>
          <t>1430259</t>
        </is>
      </c>
      <c r="AY357" t="inlineStr">
        <is>
          <t>991001182399702656</t>
        </is>
      </c>
      <c r="AZ357" t="inlineStr">
        <is>
          <t>991001182399702656</t>
        </is>
      </c>
      <c r="BA357" t="inlineStr">
        <is>
          <t>2259142910002656</t>
        </is>
      </c>
      <c r="BB357" t="inlineStr">
        <is>
          <t>BOOK</t>
        </is>
      </c>
      <c r="BE357" t="inlineStr">
        <is>
          <t>30001000309247</t>
        </is>
      </c>
      <c r="BF357" t="inlineStr">
        <is>
          <t>893278845</t>
        </is>
      </c>
    </row>
    <row r="358">
      <c r="A358" t="inlineStr">
        <is>
          <t>No</t>
        </is>
      </c>
      <c r="B358" t="inlineStr">
        <is>
          <t>CUHSL</t>
        </is>
      </c>
      <c r="C358" t="inlineStr">
        <is>
          <t>SHELVES</t>
        </is>
      </c>
      <c r="D358" t="inlineStr">
        <is>
          <t>W50 A506e 1998</t>
        </is>
      </c>
      <c r="E358" t="inlineStr">
        <is>
          <t>0                      W  0050000A  506e        1998</t>
        </is>
      </c>
      <c r="F358" t="inlineStr">
        <is>
          <t>Ethics manual / American College of Physicians ; ACP Ethics Committee, Lloyd W. Kitchens, Jr. ... [et al.] ; staff authors and editors, Lois Snyder and Karine Morin.</t>
        </is>
      </c>
      <c r="H358" t="inlineStr">
        <is>
          <t>No</t>
        </is>
      </c>
      <c r="I358" t="inlineStr">
        <is>
          <t>1</t>
        </is>
      </c>
      <c r="J358" t="inlineStr">
        <is>
          <t>No</t>
        </is>
      </c>
      <c r="K358" t="inlineStr">
        <is>
          <t>No</t>
        </is>
      </c>
      <c r="L358" t="inlineStr">
        <is>
          <t>0</t>
        </is>
      </c>
      <c r="M358" t="inlineStr">
        <is>
          <t>American College of Physicians. Ad Hoc Committee on Medical Ethics.</t>
        </is>
      </c>
      <c r="N358" t="inlineStr">
        <is>
          <t>Philadelphia : American College of Physicians, c1998.</t>
        </is>
      </c>
      <c r="O358" t="inlineStr">
        <is>
          <t>1998</t>
        </is>
      </c>
      <c r="P358" t="inlineStr">
        <is>
          <t>4th ed.</t>
        </is>
      </c>
      <c r="Q358" t="inlineStr">
        <is>
          <t>eng</t>
        </is>
      </c>
      <c r="R358" t="inlineStr">
        <is>
          <t>pau</t>
        </is>
      </c>
      <c r="T358" t="inlineStr">
        <is>
          <t xml:space="preserve">W  </t>
        </is>
      </c>
      <c r="U358" t="n">
        <v>1</v>
      </c>
      <c r="V358" t="n">
        <v>1</v>
      </c>
      <c r="W358" t="inlineStr">
        <is>
          <t>2004-11-23</t>
        </is>
      </c>
      <c r="X358" t="inlineStr">
        <is>
          <t>2004-11-23</t>
        </is>
      </c>
      <c r="Y358" t="inlineStr">
        <is>
          <t>2004-11-22</t>
        </is>
      </c>
      <c r="Z358" t="inlineStr">
        <is>
          <t>2004-11-22</t>
        </is>
      </c>
      <c r="AA358" t="n">
        <v>61</v>
      </c>
      <c r="AB358" t="n">
        <v>50</v>
      </c>
      <c r="AC358" t="n">
        <v>174</v>
      </c>
      <c r="AD358" t="n">
        <v>1</v>
      </c>
      <c r="AE358" t="n">
        <v>1</v>
      </c>
      <c r="AF358" t="n">
        <v>2</v>
      </c>
      <c r="AG358" t="n">
        <v>9</v>
      </c>
      <c r="AH358" t="n">
        <v>1</v>
      </c>
      <c r="AI358" t="n">
        <v>4</v>
      </c>
      <c r="AJ358" t="n">
        <v>0</v>
      </c>
      <c r="AK358" t="n">
        <v>0</v>
      </c>
      <c r="AL358" t="n">
        <v>1</v>
      </c>
      <c r="AM358" t="n">
        <v>5</v>
      </c>
      <c r="AN358" t="n">
        <v>0</v>
      </c>
      <c r="AO358" t="n">
        <v>0</v>
      </c>
      <c r="AP358" t="n">
        <v>0</v>
      </c>
      <c r="AQ358" t="n">
        <v>2</v>
      </c>
      <c r="AR358" t="inlineStr">
        <is>
          <t>No</t>
        </is>
      </c>
      <c r="AS358" t="inlineStr">
        <is>
          <t>Yes</t>
        </is>
      </c>
      <c r="AT358">
        <f>HYPERLINK("http://catalog.hathitrust.org/Record/004027724","HathiTrust Record")</f>
        <v/>
      </c>
      <c r="AU358">
        <f>HYPERLINK("https://creighton-primo.hosted.exlibrisgroup.com/primo-explore/search?tab=default_tab&amp;search_scope=EVERYTHING&amp;vid=01CRU&amp;lang=en_US&amp;offset=0&amp;query=any,contains,991000414129702656","Catalog Record")</f>
        <v/>
      </c>
      <c r="AV358">
        <f>HYPERLINK("http://www.worldcat.org/oclc/38562560","WorldCat Record")</f>
        <v/>
      </c>
      <c r="AW358" t="inlineStr">
        <is>
          <t>1151616180:eng</t>
        </is>
      </c>
      <c r="AX358" t="inlineStr">
        <is>
          <t>38562560</t>
        </is>
      </c>
      <c r="AY358" t="inlineStr">
        <is>
          <t>991000414129702656</t>
        </is>
      </c>
      <c r="AZ358" t="inlineStr">
        <is>
          <t>991000414129702656</t>
        </is>
      </c>
      <c r="BA358" t="inlineStr">
        <is>
          <t>2265795690002656</t>
        </is>
      </c>
      <c r="BB358" t="inlineStr">
        <is>
          <t>BOOK</t>
        </is>
      </c>
      <c r="BD358" t="inlineStr">
        <is>
          <t>9780943126678</t>
        </is>
      </c>
      <c r="BE358" t="inlineStr">
        <is>
          <t>30001004925667</t>
        </is>
      </c>
      <c r="BF358" t="inlineStr">
        <is>
          <t>893354284</t>
        </is>
      </c>
    </row>
    <row r="359">
      <c r="A359" t="inlineStr">
        <is>
          <t>No</t>
        </is>
      </c>
      <c r="B359" t="inlineStr">
        <is>
          <t>CUHSL</t>
        </is>
      </c>
      <c r="C359" t="inlineStr">
        <is>
          <t>SHELVES</t>
        </is>
      </c>
      <c r="D359" t="inlineStr">
        <is>
          <t>W 50 A5116c 1998</t>
        </is>
      </c>
      <c r="E359" t="inlineStr">
        <is>
          <t>0                      W  0050000A  5116c       1998</t>
        </is>
      </c>
      <c r="F359" t="inlineStr">
        <is>
          <t>Code of medical ethics : current opinions with annotations : annotations prepared by the Southern Illinois University Schools of Medicine and Law.</t>
        </is>
      </c>
      <c r="H359" t="inlineStr">
        <is>
          <t>No</t>
        </is>
      </c>
      <c r="I359" t="inlineStr">
        <is>
          <t>1</t>
        </is>
      </c>
      <c r="J359" t="inlineStr">
        <is>
          <t>No</t>
        </is>
      </c>
      <c r="K359" t="inlineStr">
        <is>
          <t>Yes</t>
        </is>
      </c>
      <c r="L359" t="inlineStr">
        <is>
          <t>0</t>
        </is>
      </c>
      <c r="M359" t="inlineStr">
        <is>
          <t>American Medical Association. Council on Ethical and Judicial Affairs.</t>
        </is>
      </c>
      <c r="N359" t="inlineStr">
        <is>
          <t>Chicago, Ill. : American Medical Association, c1998.</t>
        </is>
      </c>
      <c r="O359" t="inlineStr">
        <is>
          <t>1999</t>
        </is>
      </c>
      <c r="Q359" t="inlineStr">
        <is>
          <t>eng</t>
        </is>
      </c>
      <c r="R359" t="inlineStr">
        <is>
          <t>ilu</t>
        </is>
      </c>
      <c r="T359" t="inlineStr">
        <is>
          <t xml:space="preserve">W  </t>
        </is>
      </c>
      <c r="U359" t="n">
        <v>0</v>
      </c>
      <c r="V359" t="n">
        <v>0</v>
      </c>
      <c r="W359" t="inlineStr">
        <is>
          <t>2007-01-29</t>
        </is>
      </c>
      <c r="X359" t="inlineStr">
        <is>
          <t>2007-01-29</t>
        </is>
      </c>
      <c r="Y359" t="inlineStr">
        <is>
          <t>2007-01-17</t>
        </is>
      </c>
      <c r="Z359" t="inlineStr">
        <is>
          <t>2007-01-17</t>
        </is>
      </c>
      <c r="AA359" t="n">
        <v>39</v>
      </c>
      <c r="AB359" t="n">
        <v>31</v>
      </c>
      <c r="AC359" t="n">
        <v>512</v>
      </c>
      <c r="AD359" t="n">
        <v>1</v>
      </c>
      <c r="AE359" t="n">
        <v>4</v>
      </c>
      <c r="AF359" t="n">
        <v>0</v>
      </c>
      <c r="AG359" t="n">
        <v>19</v>
      </c>
      <c r="AH359" t="n">
        <v>0</v>
      </c>
      <c r="AI359" t="n">
        <v>4</v>
      </c>
      <c r="AJ359" t="n">
        <v>0</v>
      </c>
      <c r="AK359" t="n">
        <v>4</v>
      </c>
      <c r="AL359" t="n">
        <v>0</v>
      </c>
      <c r="AM359" t="n">
        <v>6</v>
      </c>
      <c r="AN359" t="n">
        <v>0</v>
      </c>
      <c r="AO359" t="n">
        <v>2</v>
      </c>
      <c r="AP359" t="n">
        <v>0</v>
      </c>
      <c r="AQ359" t="n">
        <v>6</v>
      </c>
      <c r="AR359" t="inlineStr">
        <is>
          <t>No</t>
        </is>
      </c>
      <c r="AS359" t="inlineStr">
        <is>
          <t>No</t>
        </is>
      </c>
      <c r="AU359">
        <f>HYPERLINK("https://creighton-primo.hosted.exlibrisgroup.com/primo-explore/search?tab=default_tab&amp;search_scope=EVERYTHING&amp;vid=01CRU&amp;lang=en_US&amp;offset=0&amp;query=any,contains,991000582699702656","Catalog Record")</f>
        <v/>
      </c>
      <c r="AV359">
        <f>HYPERLINK("http://www.worldcat.org/oclc/42289281","WorldCat Record")</f>
        <v/>
      </c>
      <c r="AW359" t="inlineStr">
        <is>
          <t>1055983:eng</t>
        </is>
      </c>
      <c r="AX359" t="inlineStr">
        <is>
          <t>42289281</t>
        </is>
      </c>
      <c r="AY359" t="inlineStr">
        <is>
          <t>991000582699702656</t>
        </is>
      </c>
      <c r="AZ359" t="inlineStr">
        <is>
          <t>991000582699702656</t>
        </is>
      </c>
      <c r="BA359" t="inlineStr">
        <is>
          <t>2267013690002656</t>
        </is>
      </c>
      <c r="BB359" t="inlineStr">
        <is>
          <t>BOOK</t>
        </is>
      </c>
      <c r="BD359" t="inlineStr">
        <is>
          <t>9780899709604</t>
        </is>
      </c>
      <c r="BE359" t="inlineStr">
        <is>
          <t>30001005209210</t>
        </is>
      </c>
      <c r="BF359" t="inlineStr">
        <is>
          <t>893559968</t>
        </is>
      </c>
    </row>
    <row r="360">
      <c r="A360" t="inlineStr">
        <is>
          <t>No</t>
        </is>
      </c>
      <c r="B360" t="inlineStr">
        <is>
          <t>CUHSL</t>
        </is>
      </c>
      <c r="C360" t="inlineStr">
        <is>
          <t>SHELVES</t>
        </is>
      </c>
      <c r="D360" t="inlineStr">
        <is>
          <t>W 50 A5126v 1985</t>
        </is>
      </c>
      <c r="E360" t="inlineStr">
        <is>
          <t>0                      W  0050000A  5126v       1985</t>
        </is>
      </c>
      <c r="F360" t="inlineStr">
        <is>
          <t>Values in conflict : resolving ethical issues in hospital care : report of the Special Committee on Biomedical Ethics.</t>
        </is>
      </c>
      <c r="H360" t="inlineStr">
        <is>
          <t>No</t>
        </is>
      </c>
      <c r="I360" t="inlineStr">
        <is>
          <t>1</t>
        </is>
      </c>
      <c r="J360" t="inlineStr">
        <is>
          <t>No</t>
        </is>
      </c>
      <c r="K360" t="inlineStr">
        <is>
          <t>No</t>
        </is>
      </c>
      <c r="L360" t="inlineStr">
        <is>
          <t>0</t>
        </is>
      </c>
      <c r="M360" t="inlineStr">
        <is>
          <t>American Hospital Association. Special Committee on Biomedical Ethics.</t>
        </is>
      </c>
      <c r="N360" t="inlineStr">
        <is>
          <t>Chicago, Ill. : American Hospital Association, c1985.</t>
        </is>
      </c>
      <c r="O360" t="inlineStr">
        <is>
          <t>1985</t>
        </is>
      </c>
      <c r="Q360" t="inlineStr">
        <is>
          <t>eng</t>
        </is>
      </c>
      <c r="R360" t="inlineStr">
        <is>
          <t>xxu</t>
        </is>
      </c>
      <c r="T360" t="inlineStr">
        <is>
          <t xml:space="preserve">W  </t>
        </is>
      </c>
      <c r="U360" t="n">
        <v>9</v>
      </c>
      <c r="V360" t="n">
        <v>9</v>
      </c>
      <c r="W360" t="inlineStr">
        <is>
          <t>1997-04-01</t>
        </is>
      </c>
      <c r="X360" t="inlineStr">
        <is>
          <t>1997-04-01</t>
        </is>
      </c>
      <c r="Y360" t="inlineStr">
        <is>
          <t>1987-10-02</t>
        </is>
      </c>
      <c r="Z360" t="inlineStr">
        <is>
          <t>1987-10-02</t>
        </is>
      </c>
      <c r="AA360" t="n">
        <v>358</v>
      </c>
      <c r="AB360" t="n">
        <v>324</v>
      </c>
      <c r="AC360" t="n">
        <v>326</v>
      </c>
      <c r="AD360" t="n">
        <v>3</v>
      </c>
      <c r="AE360" t="n">
        <v>3</v>
      </c>
      <c r="AF360" t="n">
        <v>18</v>
      </c>
      <c r="AG360" t="n">
        <v>18</v>
      </c>
      <c r="AH360" t="n">
        <v>3</v>
      </c>
      <c r="AI360" t="n">
        <v>3</v>
      </c>
      <c r="AJ360" t="n">
        <v>3</v>
      </c>
      <c r="AK360" t="n">
        <v>3</v>
      </c>
      <c r="AL360" t="n">
        <v>9</v>
      </c>
      <c r="AM360" t="n">
        <v>9</v>
      </c>
      <c r="AN360" t="n">
        <v>1</v>
      </c>
      <c r="AO360" t="n">
        <v>1</v>
      </c>
      <c r="AP360" t="n">
        <v>5</v>
      </c>
      <c r="AQ360" t="n">
        <v>5</v>
      </c>
      <c r="AR360" t="inlineStr">
        <is>
          <t>No</t>
        </is>
      </c>
      <c r="AS360" t="inlineStr">
        <is>
          <t>Yes</t>
        </is>
      </c>
      <c r="AT360">
        <f>HYPERLINK("http://catalog.hathitrust.org/Record/000580533","HathiTrust Record")</f>
        <v/>
      </c>
      <c r="AU360">
        <f>HYPERLINK("https://creighton-primo.hosted.exlibrisgroup.com/primo-explore/search?tab=default_tab&amp;search_scope=EVERYTHING&amp;vid=01CRU&amp;lang=en_US&amp;offset=0&amp;query=any,contains,991001182439702656","Catalog Record")</f>
        <v/>
      </c>
      <c r="AV360">
        <f>HYPERLINK("http://www.worldcat.org/oclc/12217121","WorldCat Record")</f>
        <v/>
      </c>
      <c r="AW360" t="inlineStr">
        <is>
          <t>4962331:eng</t>
        </is>
      </c>
      <c r="AX360" t="inlineStr">
        <is>
          <t>12217121</t>
        </is>
      </c>
      <c r="AY360" t="inlineStr">
        <is>
          <t>991001182439702656</t>
        </is>
      </c>
      <c r="AZ360" t="inlineStr">
        <is>
          <t>991001182439702656</t>
        </is>
      </c>
      <c r="BA360" t="inlineStr">
        <is>
          <t>2266756120002656</t>
        </is>
      </c>
      <c r="BB360" t="inlineStr">
        <is>
          <t>BOOK</t>
        </is>
      </c>
      <c r="BD360" t="inlineStr">
        <is>
          <t>9780872584334</t>
        </is>
      </c>
      <c r="BE360" t="inlineStr">
        <is>
          <t>30001000309254</t>
        </is>
      </c>
      <c r="BF360" t="inlineStr">
        <is>
          <t>893369179</t>
        </is>
      </c>
    </row>
    <row r="361">
      <c r="A361" t="inlineStr">
        <is>
          <t>No</t>
        </is>
      </c>
      <c r="B361" t="inlineStr">
        <is>
          <t>CUHSL</t>
        </is>
      </c>
      <c r="C361" t="inlineStr">
        <is>
          <t>SHELVES</t>
        </is>
      </c>
      <c r="D361" t="inlineStr">
        <is>
          <t>W 50 A512c 1986</t>
        </is>
      </c>
      <c r="E361" t="inlineStr">
        <is>
          <t>0                      W  0050000A  512c        1986</t>
        </is>
      </c>
      <c r="F361" t="inlineStr">
        <is>
          <t>Current opinions of the Council on Ethical and Judicial Affairs of the American Medical Association--1986 : including the principles of medical ethics and rules of the Council on Ethical and Judicial Affairs / prepared by the Council on Ethical and Judicial Affairs ; Nancy W. Dickey, Chairman ... [et al.].</t>
        </is>
      </c>
      <c r="H361" t="inlineStr">
        <is>
          <t>No</t>
        </is>
      </c>
      <c r="I361" t="inlineStr">
        <is>
          <t>1</t>
        </is>
      </c>
      <c r="J361" t="inlineStr">
        <is>
          <t>No</t>
        </is>
      </c>
      <c r="K361" t="inlineStr">
        <is>
          <t>No</t>
        </is>
      </c>
      <c r="L361" t="inlineStr">
        <is>
          <t>0</t>
        </is>
      </c>
      <c r="M361" t="inlineStr">
        <is>
          <t>American Medical Association. Council on Ethical and Judicial Affairs.</t>
        </is>
      </c>
      <c r="N361" t="inlineStr">
        <is>
          <t>Chicago, Ill. : The Association, c1986.</t>
        </is>
      </c>
      <c r="O361" t="inlineStr">
        <is>
          <t>1986</t>
        </is>
      </c>
      <c r="Q361" t="inlineStr">
        <is>
          <t>eng</t>
        </is>
      </c>
      <c r="R361" t="inlineStr">
        <is>
          <t>ilu</t>
        </is>
      </c>
      <c r="T361" t="inlineStr">
        <is>
          <t xml:space="preserve">W  </t>
        </is>
      </c>
      <c r="U361" t="n">
        <v>7</v>
      </c>
      <c r="V361" t="n">
        <v>7</v>
      </c>
      <c r="W361" t="inlineStr">
        <is>
          <t>1995-06-20</t>
        </is>
      </c>
      <c r="X361" t="inlineStr">
        <is>
          <t>1995-06-20</t>
        </is>
      </c>
      <c r="Y361" t="inlineStr">
        <is>
          <t>1988-10-13</t>
        </is>
      </c>
      <c r="Z361" t="inlineStr">
        <is>
          <t>1988-10-13</t>
        </is>
      </c>
      <c r="AA361" t="n">
        <v>11</v>
      </c>
      <c r="AB361" t="n">
        <v>11</v>
      </c>
      <c r="AC361" t="n">
        <v>13</v>
      </c>
      <c r="AD361" t="n">
        <v>1</v>
      </c>
      <c r="AE361" t="n">
        <v>1</v>
      </c>
      <c r="AF361" t="n">
        <v>0</v>
      </c>
      <c r="AG361" t="n">
        <v>0</v>
      </c>
      <c r="AH361" t="n">
        <v>0</v>
      </c>
      <c r="AI361" t="n">
        <v>0</v>
      </c>
      <c r="AJ361" t="n">
        <v>0</v>
      </c>
      <c r="AK361" t="n">
        <v>0</v>
      </c>
      <c r="AL361" t="n">
        <v>0</v>
      </c>
      <c r="AM361" t="n">
        <v>0</v>
      </c>
      <c r="AN361" t="n">
        <v>0</v>
      </c>
      <c r="AO361" t="n">
        <v>0</v>
      </c>
      <c r="AP361" t="n">
        <v>0</v>
      </c>
      <c r="AQ361" t="n">
        <v>0</v>
      </c>
      <c r="AR361" t="inlineStr">
        <is>
          <t>No</t>
        </is>
      </c>
      <c r="AS361" t="inlineStr">
        <is>
          <t>Yes</t>
        </is>
      </c>
      <c r="AT361">
        <f>HYPERLINK("http://catalog.hathitrust.org/Record/009254906","HathiTrust Record")</f>
        <v/>
      </c>
      <c r="AU361">
        <f>HYPERLINK("https://creighton-primo.hosted.exlibrisgroup.com/primo-explore/search?tab=default_tab&amp;search_scope=EVERYTHING&amp;vid=01CRU&amp;lang=en_US&amp;offset=0&amp;query=any,contains,991001425629702656","Catalog Record")</f>
        <v/>
      </c>
      <c r="AV361">
        <f>HYPERLINK("http://www.worldcat.org/oclc/15614832","WorldCat Record")</f>
        <v/>
      </c>
      <c r="AW361" t="inlineStr">
        <is>
          <t>10067232:eng</t>
        </is>
      </c>
      <c r="AX361" t="inlineStr">
        <is>
          <t>15614832</t>
        </is>
      </c>
      <c r="AY361" t="inlineStr">
        <is>
          <t>991001425629702656</t>
        </is>
      </c>
      <c r="AZ361" t="inlineStr">
        <is>
          <t>991001425629702656</t>
        </is>
      </c>
      <c r="BA361" t="inlineStr">
        <is>
          <t>2269466700002656</t>
        </is>
      </c>
      <c r="BB361" t="inlineStr">
        <is>
          <t>BOOK</t>
        </is>
      </c>
      <c r="BE361" t="inlineStr">
        <is>
          <t>30001001184268</t>
        </is>
      </c>
      <c r="BF361" t="inlineStr">
        <is>
          <t>893826737</t>
        </is>
      </c>
    </row>
    <row r="362">
      <c r="A362" t="inlineStr">
        <is>
          <t>No</t>
        </is>
      </c>
      <c r="B362" t="inlineStr">
        <is>
          <t>CUHSL</t>
        </is>
      </c>
      <c r="C362" t="inlineStr">
        <is>
          <t>SHELVES</t>
        </is>
      </c>
      <c r="D362" t="inlineStr">
        <is>
          <t>W 50 A512c 2008</t>
        </is>
      </c>
      <c r="E362" t="inlineStr">
        <is>
          <t>0                      W  0050000A  512c        2008</t>
        </is>
      </c>
      <c r="F362" t="inlineStr">
        <is>
          <t>Code of medical ethics of the American Medical Association : current opinions with annotations / American Medical Association, Council on Ethical and Judicial Affairs ; annotations prepared by the Southern Illinois University Schools of Medicine and Law.</t>
        </is>
      </c>
      <c r="H362" t="inlineStr">
        <is>
          <t>No</t>
        </is>
      </c>
      <c r="I362" t="inlineStr">
        <is>
          <t>1</t>
        </is>
      </c>
      <c r="J362" t="inlineStr">
        <is>
          <t>No</t>
        </is>
      </c>
      <c r="K362" t="inlineStr">
        <is>
          <t>Yes</t>
        </is>
      </c>
      <c r="L362" t="inlineStr">
        <is>
          <t>0</t>
        </is>
      </c>
      <c r="M362" t="inlineStr">
        <is>
          <t>American Medical Association. Council on Ethical and Judicial Affairs.</t>
        </is>
      </c>
      <c r="N362" t="inlineStr">
        <is>
          <t>Chicago : AMA Press, c2008.</t>
        </is>
      </c>
      <c r="O362" t="inlineStr">
        <is>
          <t>2008</t>
        </is>
      </c>
      <c r="P362" t="inlineStr">
        <is>
          <t>2008-2009 ed.</t>
        </is>
      </c>
      <c r="Q362" t="inlineStr">
        <is>
          <t>eng</t>
        </is>
      </c>
      <c r="R362" t="inlineStr">
        <is>
          <t>ilu</t>
        </is>
      </c>
      <c r="T362" t="inlineStr">
        <is>
          <t xml:space="preserve">W  </t>
        </is>
      </c>
      <c r="U362" t="n">
        <v>2</v>
      </c>
      <c r="V362" t="n">
        <v>2</v>
      </c>
      <c r="W362" t="inlineStr">
        <is>
          <t>2009-04-02</t>
        </is>
      </c>
      <c r="X362" t="inlineStr">
        <is>
          <t>2009-04-02</t>
        </is>
      </c>
      <c r="Y362" t="inlineStr">
        <is>
          <t>2009-01-27</t>
        </is>
      </c>
      <c r="Z362" t="inlineStr">
        <is>
          <t>2009-01-27</t>
        </is>
      </c>
      <c r="AA362" t="n">
        <v>102</v>
      </c>
      <c r="AB362" t="n">
        <v>100</v>
      </c>
      <c r="AC362" t="n">
        <v>558</v>
      </c>
      <c r="AD362" t="n">
        <v>1</v>
      </c>
      <c r="AE362" t="n">
        <v>1</v>
      </c>
      <c r="AF362" t="n">
        <v>2</v>
      </c>
      <c r="AG362" t="n">
        <v>16</v>
      </c>
      <c r="AH362" t="n">
        <v>1</v>
      </c>
      <c r="AI362" t="n">
        <v>4</v>
      </c>
      <c r="AJ362" t="n">
        <v>0</v>
      </c>
      <c r="AK362" t="n">
        <v>3</v>
      </c>
      <c r="AL362" t="n">
        <v>1</v>
      </c>
      <c r="AM362" t="n">
        <v>7</v>
      </c>
      <c r="AN362" t="n">
        <v>0</v>
      </c>
      <c r="AO362" t="n">
        <v>0</v>
      </c>
      <c r="AP362" t="n">
        <v>0</v>
      </c>
      <c r="AQ362" t="n">
        <v>5</v>
      </c>
      <c r="AR362" t="inlineStr">
        <is>
          <t>No</t>
        </is>
      </c>
      <c r="AS362" t="inlineStr">
        <is>
          <t>No</t>
        </is>
      </c>
      <c r="AU362">
        <f>HYPERLINK("https://creighton-primo.hosted.exlibrisgroup.com/primo-explore/search?tab=default_tab&amp;search_scope=EVERYTHING&amp;vid=01CRU&amp;lang=en_US&amp;offset=0&amp;query=any,contains,991001357069702656","Catalog Record")</f>
        <v/>
      </c>
      <c r="AV362">
        <f>HYPERLINK("http://www.worldcat.org/oclc/237214234","WorldCat Record")</f>
        <v/>
      </c>
      <c r="AW362" t="inlineStr">
        <is>
          <t>2909608906:eng</t>
        </is>
      </c>
      <c r="AX362" t="inlineStr">
        <is>
          <t>237214234</t>
        </is>
      </c>
      <c r="AY362" t="inlineStr">
        <is>
          <t>991001357069702656</t>
        </is>
      </c>
      <c r="AZ362" t="inlineStr">
        <is>
          <t>991001357069702656</t>
        </is>
      </c>
      <c r="BA362" t="inlineStr">
        <is>
          <t>2265513310002656</t>
        </is>
      </c>
      <c r="BB362" t="inlineStr">
        <is>
          <t>BOOK</t>
        </is>
      </c>
      <c r="BD362" t="inlineStr">
        <is>
          <t>9781603590020</t>
        </is>
      </c>
      <c r="BE362" t="inlineStr">
        <is>
          <t>30001005388709</t>
        </is>
      </c>
      <c r="BF362" t="inlineStr">
        <is>
          <t>893826676</t>
        </is>
      </c>
    </row>
    <row r="363">
      <c r="A363" t="inlineStr">
        <is>
          <t>No</t>
        </is>
      </c>
      <c r="B363" t="inlineStr">
        <is>
          <t>CUHSL</t>
        </is>
      </c>
      <c r="C363" t="inlineStr">
        <is>
          <t>SHELVES</t>
        </is>
      </c>
      <c r="D363" t="inlineStr">
        <is>
          <t>W 50 A512E 1982</t>
        </is>
      </c>
      <c r="E363" t="inlineStr">
        <is>
          <t>0                      W  0050000A  512E        1982</t>
        </is>
      </c>
      <c r="F363" t="inlineStr">
        <is>
          <t>Ethical principles in the conduct of research with human participants / Committee for the Protection of Human Participants in Research.</t>
        </is>
      </c>
      <c r="H363" t="inlineStr">
        <is>
          <t>No</t>
        </is>
      </c>
      <c r="I363" t="inlineStr">
        <is>
          <t>1</t>
        </is>
      </c>
      <c r="J363" t="inlineStr">
        <is>
          <t>No</t>
        </is>
      </c>
      <c r="K363" t="inlineStr">
        <is>
          <t>No</t>
        </is>
      </c>
      <c r="L363" t="inlineStr">
        <is>
          <t>0</t>
        </is>
      </c>
      <c r="M363" t="inlineStr">
        <is>
          <t>American Psychological Association.</t>
        </is>
      </c>
      <c r="N363" t="inlineStr">
        <is>
          <t>Washington, D.C. (1200 17th St., N.W., Washington 20036) : American Psychological Association, c1982</t>
        </is>
      </c>
      <c r="O363" t="inlineStr">
        <is>
          <t>1982</t>
        </is>
      </c>
      <c r="Q363" t="inlineStr">
        <is>
          <t>eng</t>
        </is>
      </c>
      <c r="R363" t="inlineStr">
        <is>
          <t>dcu</t>
        </is>
      </c>
      <c r="T363" t="inlineStr">
        <is>
          <t xml:space="preserve">W  </t>
        </is>
      </c>
      <c r="U363" t="n">
        <v>7</v>
      </c>
      <c r="V363" t="n">
        <v>7</v>
      </c>
      <c r="W363" t="inlineStr">
        <is>
          <t>2002-04-04</t>
        </is>
      </c>
      <c r="X363" t="inlineStr">
        <is>
          <t>2002-04-04</t>
        </is>
      </c>
      <c r="Y363" t="inlineStr">
        <is>
          <t>1989-02-17</t>
        </is>
      </c>
      <c r="Z363" t="inlineStr">
        <is>
          <t>1989-02-17</t>
        </is>
      </c>
      <c r="AA363" t="n">
        <v>548</v>
      </c>
      <c r="AB363" t="n">
        <v>467</v>
      </c>
      <c r="AC363" t="n">
        <v>876</v>
      </c>
      <c r="AD363" t="n">
        <v>4</v>
      </c>
      <c r="AE363" t="n">
        <v>9</v>
      </c>
      <c r="AF363" t="n">
        <v>21</v>
      </c>
      <c r="AG363" t="n">
        <v>41</v>
      </c>
      <c r="AH363" t="n">
        <v>10</v>
      </c>
      <c r="AI363" t="n">
        <v>15</v>
      </c>
      <c r="AJ363" t="n">
        <v>2</v>
      </c>
      <c r="AK363" t="n">
        <v>7</v>
      </c>
      <c r="AL363" t="n">
        <v>9</v>
      </c>
      <c r="AM363" t="n">
        <v>19</v>
      </c>
      <c r="AN363" t="n">
        <v>3</v>
      </c>
      <c r="AO363" t="n">
        <v>6</v>
      </c>
      <c r="AP363" t="n">
        <v>1</v>
      </c>
      <c r="AQ363" t="n">
        <v>3</v>
      </c>
      <c r="AR363" t="inlineStr">
        <is>
          <t>No</t>
        </is>
      </c>
      <c r="AS363" t="inlineStr">
        <is>
          <t>No</t>
        </is>
      </c>
      <c r="AU363">
        <f>HYPERLINK("https://creighton-primo.hosted.exlibrisgroup.com/primo-explore/search?tab=default_tab&amp;search_scope=EVERYTHING&amp;vid=01CRU&amp;lang=en_US&amp;offset=0&amp;query=any,contains,991001123629702656","Catalog Record")</f>
        <v/>
      </c>
      <c r="AV363">
        <f>HYPERLINK("http://www.worldcat.org/oclc/13234252","WorldCat Record")</f>
        <v/>
      </c>
      <c r="AW363" t="inlineStr">
        <is>
          <t>4820688054:eng</t>
        </is>
      </c>
      <c r="AX363" t="inlineStr">
        <is>
          <t>13234252</t>
        </is>
      </c>
      <c r="AY363" t="inlineStr">
        <is>
          <t>991001123629702656</t>
        </is>
      </c>
      <c r="AZ363" t="inlineStr">
        <is>
          <t>991001123629702656</t>
        </is>
      </c>
      <c r="BA363" t="inlineStr">
        <is>
          <t>2267655360002656</t>
        </is>
      </c>
      <c r="BB363" t="inlineStr">
        <is>
          <t>BOOK</t>
        </is>
      </c>
      <c r="BE363" t="inlineStr">
        <is>
          <t>30001001614926</t>
        </is>
      </c>
      <c r="BF363" t="inlineStr">
        <is>
          <t>893743637</t>
        </is>
      </c>
    </row>
    <row r="364">
      <c r="A364" t="inlineStr">
        <is>
          <t>No</t>
        </is>
      </c>
      <c r="B364" t="inlineStr">
        <is>
          <t>CUHSL</t>
        </is>
      </c>
      <c r="C364" t="inlineStr">
        <is>
          <t>SHELVES</t>
        </is>
      </c>
      <c r="D364" t="inlineStr">
        <is>
          <t>W 50 A613s 1993</t>
        </is>
      </c>
      <c r="E364" t="inlineStr">
        <is>
          <t>0                      W  0050000A  613s        1993</t>
        </is>
      </c>
      <c r="F364" t="inlineStr">
        <is>
          <t>Standard of care : the law of American bioethics / George J. Annas.</t>
        </is>
      </c>
      <c r="H364" t="inlineStr">
        <is>
          <t>No</t>
        </is>
      </c>
      <c r="I364" t="inlineStr">
        <is>
          <t>1</t>
        </is>
      </c>
      <c r="J364" t="inlineStr">
        <is>
          <t>Yes</t>
        </is>
      </c>
      <c r="K364" t="inlineStr">
        <is>
          <t>No</t>
        </is>
      </c>
      <c r="L364" t="inlineStr">
        <is>
          <t>0</t>
        </is>
      </c>
      <c r="M364" t="inlineStr">
        <is>
          <t>Annas, George J.</t>
        </is>
      </c>
      <c r="N364" t="inlineStr">
        <is>
          <t>New York : Oxford University Press, c1993.</t>
        </is>
      </c>
      <c r="O364" t="inlineStr">
        <is>
          <t>1993</t>
        </is>
      </c>
      <c r="Q364" t="inlineStr">
        <is>
          <t>eng</t>
        </is>
      </c>
      <c r="R364" t="inlineStr">
        <is>
          <t>nyu</t>
        </is>
      </c>
      <c r="T364" t="inlineStr">
        <is>
          <t xml:space="preserve">W  </t>
        </is>
      </c>
      <c r="U364" t="n">
        <v>14</v>
      </c>
      <c r="V364" t="n">
        <v>17</v>
      </c>
      <c r="W364" t="inlineStr">
        <is>
          <t>2002-07-17</t>
        </is>
      </c>
      <c r="X364" t="inlineStr">
        <is>
          <t>2002-07-17</t>
        </is>
      </c>
      <c r="Y364" t="inlineStr">
        <is>
          <t>1993-07-13</t>
        </is>
      </c>
      <c r="Z364" t="inlineStr">
        <is>
          <t>1993-07-13</t>
        </is>
      </c>
      <c r="AA364" t="n">
        <v>755</v>
      </c>
      <c r="AB364" t="n">
        <v>656</v>
      </c>
      <c r="AC364" t="n">
        <v>679</v>
      </c>
      <c r="AD364" t="n">
        <v>4</v>
      </c>
      <c r="AE364" t="n">
        <v>4</v>
      </c>
      <c r="AF364" t="n">
        <v>51</v>
      </c>
      <c r="AG364" t="n">
        <v>51</v>
      </c>
      <c r="AH364" t="n">
        <v>13</v>
      </c>
      <c r="AI364" t="n">
        <v>13</v>
      </c>
      <c r="AJ364" t="n">
        <v>9</v>
      </c>
      <c r="AK364" t="n">
        <v>9</v>
      </c>
      <c r="AL364" t="n">
        <v>17</v>
      </c>
      <c r="AM364" t="n">
        <v>17</v>
      </c>
      <c r="AN364" t="n">
        <v>2</v>
      </c>
      <c r="AO364" t="n">
        <v>2</v>
      </c>
      <c r="AP364" t="n">
        <v>21</v>
      </c>
      <c r="AQ364" t="n">
        <v>21</v>
      </c>
      <c r="AR364" t="inlineStr">
        <is>
          <t>No</t>
        </is>
      </c>
      <c r="AS364" t="inlineStr">
        <is>
          <t>Yes</t>
        </is>
      </c>
      <c r="AT364">
        <f>HYPERLINK("http://catalog.hathitrust.org/Record/002783758","HathiTrust Record")</f>
        <v/>
      </c>
      <c r="AU364">
        <f>HYPERLINK("https://creighton-primo.hosted.exlibrisgroup.com/primo-explore/search?tab=default_tab&amp;search_scope=EVERYTHING&amp;vid=01CRU&amp;lang=en_US&amp;offset=0&amp;query=any,contains,991001653039702656","Catalog Record")</f>
        <v/>
      </c>
      <c r="AV364">
        <f>HYPERLINK("http://www.worldcat.org/oclc/25867841","WorldCat Record")</f>
        <v/>
      </c>
      <c r="AW364" t="inlineStr">
        <is>
          <t>597586:eng</t>
        </is>
      </c>
      <c r="AX364" t="inlineStr">
        <is>
          <t>25867841</t>
        </is>
      </c>
      <c r="AY364" t="inlineStr">
        <is>
          <t>991001653039702656</t>
        </is>
      </c>
      <c r="AZ364" t="inlineStr">
        <is>
          <t>991001653039702656</t>
        </is>
      </c>
      <c r="BA364" t="inlineStr">
        <is>
          <t>2256120880002656</t>
        </is>
      </c>
      <c r="BB364" t="inlineStr">
        <is>
          <t>BOOK</t>
        </is>
      </c>
      <c r="BD364" t="inlineStr">
        <is>
          <t>9780195072471</t>
        </is>
      </c>
      <c r="BE364" t="inlineStr">
        <is>
          <t>30001002569228</t>
        </is>
      </c>
      <c r="BF364" t="inlineStr">
        <is>
          <t>893821360</t>
        </is>
      </c>
    </row>
    <row r="365">
      <c r="A365" t="inlineStr">
        <is>
          <t>No</t>
        </is>
      </c>
      <c r="B365" t="inlineStr">
        <is>
          <t>CUHSL</t>
        </is>
      </c>
      <c r="C365" t="inlineStr">
        <is>
          <t>SHELVES</t>
        </is>
      </c>
      <c r="D365" t="inlineStr">
        <is>
          <t>W 50 A817h 1989</t>
        </is>
      </c>
      <c r="E365" t="inlineStr">
        <is>
          <t>0                      W  0050000A  817h        1989</t>
        </is>
      </c>
      <c r="F365" t="inlineStr">
        <is>
          <t>Healthcare ethics : a theological analysis / Benedict M. Ashley, Kevin D. O'Rourke.</t>
        </is>
      </c>
      <c r="H365" t="inlineStr">
        <is>
          <t>No</t>
        </is>
      </c>
      <c r="I365" t="inlineStr">
        <is>
          <t>1</t>
        </is>
      </c>
      <c r="J365" t="inlineStr">
        <is>
          <t>No</t>
        </is>
      </c>
      <c r="K365" t="inlineStr">
        <is>
          <t>Yes</t>
        </is>
      </c>
      <c r="L365" t="inlineStr">
        <is>
          <t>1</t>
        </is>
      </c>
      <c r="M365" t="inlineStr">
        <is>
          <t>Ashley, Benedict M.</t>
        </is>
      </c>
      <c r="N365" t="inlineStr">
        <is>
          <t>St. Louis, MO : Catholic Health Association of the United States, c1989.</t>
        </is>
      </c>
      <c r="O365" t="inlineStr">
        <is>
          <t>1989</t>
        </is>
      </c>
      <c r="P365" t="inlineStr">
        <is>
          <t>3rd ed.</t>
        </is>
      </c>
      <c r="Q365" t="inlineStr">
        <is>
          <t>eng</t>
        </is>
      </c>
      <c r="R365" t="inlineStr">
        <is>
          <t>xxu</t>
        </is>
      </c>
      <c r="T365" t="inlineStr">
        <is>
          <t xml:space="preserve">W  </t>
        </is>
      </c>
      <c r="U365" t="n">
        <v>54</v>
      </c>
      <c r="V365" t="n">
        <v>54</v>
      </c>
      <c r="W365" t="inlineStr">
        <is>
          <t>2006-12-09</t>
        </is>
      </c>
      <c r="X365" t="inlineStr">
        <is>
          <t>2006-12-09</t>
        </is>
      </c>
      <c r="Y365" t="inlineStr">
        <is>
          <t>1989-09-07</t>
        </is>
      </c>
      <c r="Z365" t="inlineStr">
        <is>
          <t>1989-09-07</t>
        </is>
      </c>
      <c r="AA365" t="n">
        <v>270</v>
      </c>
      <c r="AB365" t="n">
        <v>228</v>
      </c>
      <c r="AC365" t="n">
        <v>1917</v>
      </c>
      <c r="AD365" t="n">
        <v>4</v>
      </c>
      <c r="AE365" t="n">
        <v>18</v>
      </c>
      <c r="AF365" t="n">
        <v>19</v>
      </c>
      <c r="AG365" t="n">
        <v>72</v>
      </c>
      <c r="AH365" t="n">
        <v>6</v>
      </c>
      <c r="AI365" t="n">
        <v>25</v>
      </c>
      <c r="AJ365" t="n">
        <v>3</v>
      </c>
      <c r="AK365" t="n">
        <v>11</v>
      </c>
      <c r="AL365" t="n">
        <v>12</v>
      </c>
      <c r="AM365" t="n">
        <v>27</v>
      </c>
      <c r="AN365" t="n">
        <v>1</v>
      </c>
      <c r="AO365" t="n">
        <v>14</v>
      </c>
      <c r="AP365" t="n">
        <v>2</v>
      </c>
      <c r="AQ365" t="n">
        <v>8</v>
      </c>
      <c r="AR365" t="inlineStr">
        <is>
          <t>No</t>
        </is>
      </c>
      <c r="AS365" t="inlineStr">
        <is>
          <t>Yes</t>
        </is>
      </c>
      <c r="AT365">
        <f>HYPERLINK("http://catalog.hathitrust.org/Record/008852264","HathiTrust Record")</f>
        <v/>
      </c>
      <c r="AU365">
        <f>HYPERLINK("https://creighton-primo.hosted.exlibrisgroup.com/primo-explore/search?tab=default_tab&amp;search_scope=EVERYTHING&amp;vid=01CRU&amp;lang=en_US&amp;offset=0&amp;query=any,contains,991001316839702656","Catalog Record")</f>
        <v/>
      </c>
      <c r="AV365">
        <f>HYPERLINK("http://www.worldcat.org/oclc/19389599","WorldCat Record")</f>
        <v/>
      </c>
      <c r="AW365" t="inlineStr">
        <is>
          <t>14696778:eng</t>
        </is>
      </c>
      <c r="AX365" t="inlineStr">
        <is>
          <t>19389599</t>
        </is>
      </c>
      <c r="AY365" t="inlineStr">
        <is>
          <t>991001316839702656</t>
        </is>
      </c>
      <c r="AZ365" t="inlineStr">
        <is>
          <t>991001316839702656</t>
        </is>
      </c>
      <c r="BA365" t="inlineStr">
        <is>
          <t>2261712420002656</t>
        </is>
      </c>
      <c r="BB365" t="inlineStr">
        <is>
          <t>BOOK</t>
        </is>
      </c>
      <c r="BD365" t="inlineStr">
        <is>
          <t>9780871251589</t>
        </is>
      </c>
      <c r="BE365" t="inlineStr">
        <is>
          <t>30001001753112</t>
        </is>
      </c>
      <c r="BF365" t="inlineStr">
        <is>
          <t>893834636</t>
        </is>
      </c>
    </row>
    <row r="366">
      <c r="A366" t="inlineStr">
        <is>
          <t>No</t>
        </is>
      </c>
      <c r="B366" t="inlineStr">
        <is>
          <t>CUHSL</t>
        </is>
      </c>
      <c r="C366" t="inlineStr">
        <is>
          <t>SHELVES</t>
        </is>
      </c>
      <c r="D366" t="inlineStr">
        <is>
          <t>W50 A817h 2002</t>
        </is>
      </c>
      <c r="E366" t="inlineStr">
        <is>
          <t>0                      W  0050000A  817h        2002</t>
        </is>
      </c>
      <c r="F366" t="inlineStr">
        <is>
          <t>Ethics of health care : an introductory textbook / Benedict M. Ashley, Kevin D. O'Rourke.</t>
        </is>
      </c>
      <c r="H366" t="inlineStr">
        <is>
          <t>No</t>
        </is>
      </c>
      <c r="I366" t="inlineStr">
        <is>
          <t>1</t>
        </is>
      </c>
      <c r="J366" t="inlineStr">
        <is>
          <t>No</t>
        </is>
      </c>
      <c r="K366" t="inlineStr">
        <is>
          <t>No</t>
        </is>
      </c>
      <c r="L366" t="inlineStr">
        <is>
          <t>1</t>
        </is>
      </c>
      <c r="M366" t="inlineStr">
        <is>
          <t>Ashley, Benedict M.</t>
        </is>
      </c>
      <c r="N366" t="inlineStr">
        <is>
          <t>Washington, D.C. : Georgetown University Press, c2002.</t>
        </is>
      </c>
      <c r="O366" t="inlineStr">
        <is>
          <t>2002</t>
        </is>
      </c>
      <c r="P366" t="inlineStr">
        <is>
          <t>3rd ed.</t>
        </is>
      </c>
      <c r="Q366" t="inlineStr">
        <is>
          <t>eng</t>
        </is>
      </c>
      <c r="R366" t="inlineStr">
        <is>
          <t>dcu</t>
        </is>
      </c>
      <c r="T366" t="inlineStr">
        <is>
          <t xml:space="preserve">W  </t>
        </is>
      </c>
      <c r="U366" t="n">
        <v>3</v>
      </c>
      <c r="V366" t="n">
        <v>3</v>
      </c>
      <c r="W366" t="inlineStr">
        <is>
          <t>2005-02-07</t>
        </is>
      </c>
      <c r="X366" t="inlineStr">
        <is>
          <t>2005-02-07</t>
        </is>
      </c>
      <c r="Y366" t="inlineStr">
        <is>
          <t>2004-08-25</t>
        </is>
      </c>
      <c r="Z366" t="inlineStr">
        <is>
          <t>2004-08-25</t>
        </is>
      </c>
      <c r="AA366" t="n">
        <v>235</v>
      </c>
      <c r="AB366" t="n">
        <v>189</v>
      </c>
      <c r="AC366" t="n">
        <v>1196</v>
      </c>
      <c r="AD366" t="n">
        <v>1</v>
      </c>
      <c r="AE366" t="n">
        <v>14</v>
      </c>
      <c r="AF366" t="n">
        <v>14</v>
      </c>
      <c r="AG366" t="n">
        <v>51</v>
      </c>
      <c r="AH366" t="n">
        <v>7</v>
      </c>
      <c r="AI366" t="n">
        <v>17</v>
      </c>
      <c r="AJ366" t="n">
        <v>4</v>
      </c>
      <c r="AK366" t="n">
        <v>9</v>
      </c>
      <c r="AL366" t="n">
        <v>8</v>
      </c>
      <c r="AM366" t="n">
        <v>19</v>
      </c>
      <c r="AN366" t="n">
        <v>0</v>
      </c>
      <c r="AO366" t="n">
        <v>12</v>
      </c>
      <c r="AP366" t="n">
        <v>0</v>
      </c>
      <c r="AQ366" t="n">
        <v>4</v>
      </c>
      <c r="AR366" t="inlineStr">
        <is>
          <t>No</t>
        </is>
      </c>
      <c r="AS366" t="inlineStr">
        <is>
          <t>No</t>
        </is>
      </c>
      <c r="AU366">
        <f>HYPERLINK("https://creighton-primo.hosted.exlibrisgroup.com/primo-explore/search?tab=default_tab&amp;search_scope=EVERYTHING&amp;vid=01CRU&amp;lang=en_US&amp;offset=0&amp;query=any,contains,991000377959702656","Catalog Record")</f>
        <v/>
      </c>
      <c r="AV366">
        <f>HYPERLINK("http://www.worldcat.org/oclc/48966789","WorldCat Record")</f>
        <v/>
      </c>
      <c r="AW366" t="inlineStr">
        <is>
          <t>796489696:eng</t>
        </is>
      </c>
      <c r="AX366" t="inlineStr">
        <is>
          <t>48966789</t>
        </is>
      </c>
      <c r="AY366" t="inlineStr">
        <is>
          <t>991000377959702656</t>
        </is>
      </c>
      <c r="AZ366" t="inlineStr">
        <is>
          <t>991000377959702656</t>
        </is>
      </c>
      <c r="BA366" t="inlineStr">
        <is>
          <t>2270327320002656</t>
        </is>
      </c>
      <c r="BB366" t="inlineStr">
        <is>
          <t>BOOK</t>
        </is>
      </c>
      <c r="BD366" t="inlineStr">
        <is>
          <t>9780878403752</t>
        </is>
      </c>
      <c r="BE366" t="inlineStr">
        <is>
          <t>30001004922136</t>
        </is>
      </c>
      <c r="BF366" t="inlineStr">
        <is>
          <t>893822104</t>
        </is>
      </c>
    </row>
    <row r="367">
      <c r="A367" t="inlineStr">
        <is>
          <t>No</t>
        </is>
      </c>
      <c r="B367" t="inlineStr">
        <is>
          <t>CUHSL</t>
        </is>
      </c>
      <c r="C367" t="inlineStr">
        <is>
          <t>SHELVES</t>
        </is>
      </c>
      <c r="D367" t="inlineStr">
        <is>
          <t>W 50 A826h 1986</t>
        </is>
      </c>
      <c r="E367" t="inlineStr">
        <is>
          <t>0                      W  0050000A  826h        1986</t>
        </is>
      </c>
      <c r="F367" t="inlineStr">
        <is>
          <t>The ethics of health care : a textbook / Benedict M. Ashley, Kevin D. O'Rourke.</t>
        </is>
      </c>
      <c r="H367" t="inlineStr">
        <is>
          <t>No</t>
        </is>
      </c>
      <c r="I367" t="inlineStr">
        <is>
          <t>1</t>
        </is>
      </c>
      <c r="J367" t="inlineStr">
        <is>
          <t>No</t>
        </is>
      </c>
      <c r="K367" t="inlineStr">
        <is>
          <t>No</t>
        </is>
      </c>
      <c r="L367" t="inlineStr">
        <is>
          <t>0</t>
        </is>
      </c>
      <c r="M367" t="inlineStr">
        <is>
          <t>Ashley, Benedict M.</t>
        </is>
      </c>
      <c r="N367" t="inlineStr">
        <is>
          <t>St. Louis, MO : Catholic Health Association of the United States, c1986.</t>
        </is>
      </c>
      <c r="O367" t="inlineStr">
        <is>
          <t>1986</t>
        </is>
      </c>
      <c r="Q367" t="inlineStr">
        <is>
          <t>eng</t>
        </is>
      </c>
      <c r="R367" t="inlineStr">
        <is>
          <t>mou</t>
        </is>
      </c>
      <c r="T367" t="inlineStr">
        <is>
          <t xml:space="preserve">W  </t>
        </is>
      </c>
      <c r="U367" t="n">
        <v>37</v>
      </c>
      <c r="V367" t="n">
        <v>37</v>
      </c>
      <c r="W367" t="inlineStr">
        <is>
          <t>2004-03-14</t>
        </is>
      </c>
      <c r="X367" t="inlineStr">
        <is>
          <t>2004-03-14</t>
        </is>
      </c>
      <c r="Y367" t="inlineStr">
        <is>
          <t>1988-05-01</t>
        </is>
      </c>
      <c r="Z367" t="inlineStr">
        <is>
          <t>1988-05-01</t>
        </is>
      </c>
      <c r="AA367" t="n">
        <v>164</v>
      </c>
      <c r="AB367" t="n">
        <v>141</v>
      </c>
      <c r="AC367" t="n">
        <v>143</v>
      </c>
      <c r="AD367" t="n">
        <v>1</v>
      </c>
      <c r="AE367" t="n">
        <v>1</v>
      </c>
      <c r="AF367" t="n">
        <v>14</v>
      </c>
      <c r="AG367" t="n">
        <v>14</v>
      </c>
      <c r="AH367" t="n">
        <v>3</v>
      </c>
      <c r="AI367" t="n">
        <v>3</v>
      </c>
      <c r="AJ367" t="n">
        <v>5</v>
      </c>
      <c r="AK367" t="n">
        <v>5</v>
      </c>
      <c r="AL367" t="n">
        <v>9</v>
      </c>
      <c r="AM367" t="n">
        <v>9</v>
      </c>
      <c r="AN367" t="n">
        <v>0</v>
      </c>
      <c r="AO367" t="n">
        <v>0</v>
      </c>
      <c r="AP367" t="n">
        <v>1</v>
      </c>
      <c r="AQ367" t="n">
        <v>1</v>
      </c>
      <c r="AR367" t="inlineStr">
        <is>
          <t>No</t>
        </is>
      </c>
      <c r="AS367" t="inlineStr">
        <is>
          <t>Yes</t>
        </is>
      </c>
      <c r="AT367">
        <f>HYPERLINK("http://catalog.hathitrust.org/Record/000824685","HathiTrust Record")</f>
        <v/>
      </c>
      <c r="AU367">
        <f>HYPERLINK("https://creighton-primo.hosted.exlibrisgroup.com/primo-explore/search?tab=default_tab&amp;search_scope=EVERYTHING&amp;vid=01CRU&amp;lang=en_US&amp;offset=0&amp;query=any,contains,991001182479702656","Catalog Record")</f>
        <v/>
      </c>
      <c r="AV367">
        <f>HYPERLINK("http://www.worldcat.org/oclc/12949659","WorldCat Record")</f>
        <v/>
      </c>
      <c r="AW367" t="inlineStr">
        <is>
          <t>5218108980:eng</t>
        </is>
      </c>
      <c r="AX367" t="inlineStr">
        <is>
          <t>12949659</t>
        </is>
      </c>
      <c r="AY367" t="inlineStr">
        <is>
          <t>991001182479702656</t>
        </is>
      </c>
      <c r="AZ367" t="inlineStr">
        <is>
          <t>991001182479702656</t>
        </is>
      </c>
      <c r="BA367" t="inlineStr">
        <is>
          <t>2255995050002656</t>
        </is>
      </c>
      <c r="BB367" t="inlineStr">
        <is>
          <t>BOOK</t>
        </is>
      </c>
      <c r="BD367" t="inlineStr">
        <is>
          <t>9780871251114</t>
        </is>
      </c>
      <c r="BE367" t="inlineStr">
        <is>
          <t>30001000309262</t>
        </is>
      </c>
      <c r="BF367" t="inlineStr">
        <is>
          <t>893358308</t>
        </is>
      </c>
    </row>
    <row r="368">
      <c r="A368" t="inlineStr">
        <is>
          <t>No</t>
        </is>
      </c>
      <c r="B368" t="inlineStr">
        <is>
          <t>CUHSL</t>
        </is>
      </c>
      <c r="C368" t="inlineStr">
        <is>
          <t>SHELVES</t>
        </is>
      </c>
      <c r="D368" t="inlineStr">
        <is>
          <t>W 50 A834 1998</t>
        </is>
      </c>
      <c r="E368" t="inlineStr">
        <is>
          <t>0                      W  0050000A  834         1998</t>
        </is>
      </c>
      <c r="F368" t="inlineStr">
        <is>
          <t>Asking to die : inside the Dutch debate about euthanasia / edited by David C. Thomasma ... [et al.].</t>
        </is>
      </c>
      <c r="H368" t="inlineStr">
        <is>
          <t>No</t>
        </is>
      </c>
      <c r="I368" t="inlineStr">
        <is>
          <t>1</t>
        </is>
      </c>
      <c r="J368" t="inlineStr">
        <is>
          <t>No</t>
        </is>
      </c>
      <c r="K368" t="inlineStr">
        <is>
          <t>No</t>
        </is>
      </c>
      <c r="L368" t="inlineStr">
        <is>
          <t>0</t>
        </is>
      </c>
      <c r="N368" t="inlineStr">
        <is>
          <t>Dordrecht ; Boston : Kluwer Academic Publishers, c1998.</t>
        </is>
      </c>
      <c r="O368" t="inlineStr">
        <is>
          <t>1998</t>
        </is>
      </c>
      <c r="Q368" t="inlineStr">
        <is>
          <t>eng</t>
        </is>
      </c>
      <c r="R368" t="inlineStr">
        <is>
          <t xml:space="preserve">ne </t>
        </is>
      </c>
      <c r="T368" t="inlineStr">
        <is>
          <t xml:space="preserve">W  </t>
        </is>
      </c>
      <c r="U368" t="n">
        <v>13</v>
      </c>
      <c r="V368" t="n">
        <v>13</v>
      </c>
      <c r="W368" t="inlineStr">
        <is>
          <t>2010-02-27</t>
        </is>
      </c>
      <c r="X368" t="inlineStr">
        <is>
          <t>2010-02-27</t>
        </is>
      </c>
      <c r="Y368" t="inlineStr">
        <is>
          <t>1998-11-06</t>
        </is>
      </c>
      <c r="Z368" t="inlineStr">
        <is>
          <t>1998-11-06</t>
        </is>
      </c>
      <c r="AA368" t="n">
        <v>265</v>
      </c>
      <c r="AB368" t="n">
        <v>177</v>
      </c>
      <c r="AC368" t="n">
        <v>286</v>
      </c>
      <c r="AD368" t="n">
        <v>2</v>
      </c>
      <c r="AE368" t="n">
        <v>2</v>
      </c>
      <c r="AF368" t="n">
        <v>12</v>
      </c>
      <c r="AG368" t="n">
        <v>15</v>
      </c>
      <c r="AH368" t="n">
        <v>2</v>
      </c>
      <c r="AI368" t="n">
        <v>2</v>
      </c>
      <c r="AJ368" t="n">
        <v>3</v>
      </c>
      <c r="AK368" t="n">
        <v>4</v>
      </c>
      <c r="AL368" t="n">
        <v>5</v>
      </c>
      <c r="AM368" t="n">
        <v>8</v>
      </c>
      <c r="AN368" t="n">
        <v>1</v>
      </c>
      <c r="AO368" t="n">
        <v>1</v>
      </c>
      <c r="AP368" t="n">
        <v>4</v>
      </c>
      <c r="AQ368" t="n">
        <v>4</v>
      </c>
      <c r="AR368" t="inlineStr">
        <is>
          <t>No</t>
        </is>
      </c>
      <c r="AS368" t="inlineStr">
        <is>
          <t>No</t>
        </is>
      </c>
      <c r="AU368">
        <f>HYPERLINK("https://creighton-primo.hosted.exlibrisgroup.com/primo-explore/search?tab=default_tab&amp;search_scope=EVERYTHING&amp;vid=01CRU&amp;lang=en_US&amp;offset=0&amp;query=any,contains,991001565689702656","Catalog Record")</f>
        <v/>
      </c>
      <c r="AV368">
        <f>HYPERLINK("http://www.worldcat.org/oclc/39313504","WorldCat Record")</f>
        <v/>
      </c>
      <c r="AW368" t="inlineStr">
        <is>
          <t>793907907:eng</t>
        </is>
      </c>
      <c r="AX368" t="inlineStr">
        <is>
          <t>39313504</t>
        </is>
      </c>
      <c r="AY368" t="inlineStr">
        <is>
          <t>991001565689702656</t>
        </is>
      </c>
      <c r="AZ368" t="inlineStr">
        <is>
          <t>991001565689702656</t>
        </is>
      </c>
      <c r="BA368" t="inlineStr">
        <is>
          <t>2269345260002656</t>
        </is>
      </c>
      <c r="BB368" t="inlineStr">
        <is>
          <t>BOOK</t>
        </is>
      </c>
      <c r="BD368" t="inlineStr">
        <is>
          <t>9780792351856</t>
        </is>
      </c>
      <c r="BE368" t="inlineStr">
        <is>
          <t>30001004036481</t>
        </is>
      </c>
      <c r="BF368" t="inlineStr">
        <is>
          <t>893162158</t>
        </is>
      </c>
    </row>
    <row r="369">
      <c r="A369" t="inlineStr">
        <is>
          <t>No</t>
        </is>
      </c>
      <c r="B369" t="inlineStr">
        <is>
          <t>CUHSL</t>
        </is>
      </c>
      <c r="C369" t="inlineStr">
        <is>
          <t>SHELVES</t>
        </is>
      </c>
      <c r="D369" t="inlineStr">
        <is>
          <t>W 50 B245m 1990</t>
        </is>
      </c>
      <c r="E369" t="inlineStr">
        <is>
          <t>0                      W  0050000B  245m        1990</t>
        </is>
      </c>
      <c r="F369" t="inlineStr">
        <is>
          <t>Medical ethics in practice / Terry R. Bard.</t>
        </is>
      </c>
      <c r="H369" t="inlineStr">
        <is>
          <t>No</t>
        </is>
      </c>
      <c r="I369" t="inlineStr">
        <is>
          <t>1</t>
        </is>
      </c>
      <c r="J369" t="inlineStr">
        <is>
          <t>No</t>
        </is>
      </c>
      <c r="K369" t="inlineStr">
        <is>
          <t>No</t>
        </is>
      </c>
      <c r="L369" t="inlineStr">
        <is>
          <t>0</t>
        </is>
      </c>
      <c r="M369" t="inlineStr">
        <is>
          <t>Bard, Terry R.</t>
        </is>
      </c>
      <c r="N369" t="inlineStr">
        <is>
          <t>New York : Hemisphere Pub. Corp., c1990.</t>
        </is>
      </c>
      <c r="O369" t="inlineStr">
        <is>
          <t>1990</t>
        </is>
      </c>
      <c r="Q369" t="inlineStr">
        <is>
          <t>eng</t>
        </is>
      </c>
      <c r="R369" t="inlineStr">
        <is>
          <t>nyu</t>
        </is>
      </c>
      <c r="S369" t="inlineStr">
        <is>
          <t>Series in death education, aging, and health care, 0275-3510</t>
        </is>
      </c>
      <c r="T369" t="inlineStr">
        <is>
          <t xml:space="preserve">W  </t>
        </is>
      </c>
      <c r="U369" t="n">
        <v>15</v>
      </c>
      <c r="V369" t="n">
        <v>15</v>
      </c>
      <c r="W369" t="inlineStr">
        <is>
          <t>1997-04-26</t>
        </is>
      </c>
      <c r="X369" t="inlineStr">
        <is>
          <t>1997-04-26</t>
        </is>
      </c>
      <c r="Y369" t="inlineStr">
        <is>
          <t>1991-01-10</t>
        </is>
      </c>
      <c r="Z369" t="inlineStr">
        <is>
          <t>1991-01-10</t>
        </is>
      </c>
      <c r="AA369" t="n">
        <v>243</v>
      </c>
      <c r="AB369" t="n">
        <v>197</v>
      </c>
      <c r="AC369" t="n">
        <v>203</v>
      </c>
      <c r="AD369" t="n">
        <v>1</v>
      </c>
      <c r="AE369" t="n">
        <v>1</v>
      </c>
      <c r="AF369" t="n">
        <v>10</v>
      </c>
      <c r="AG369" t="n">
        <v>10</v>
      </c>
      <c r="AH369" t="n">
        <v>3</v>
      </c>
      <c r="AI369" t="n">
        <v>3</v>
      </c>
      <c r="AJ369" t="n">
        <v>2</v>
      </c>
      <c r="AK369" t="n">
        <v>2</v>
      </c>
      <c r="AL369" t="n">
        <v>6</v>
      </c>
      <c r="AM369" t="n">
        <v>6</v>
      </c>
      <c r="AN369" t="n">
        <v>0</v>
      </c>
      <c r="AO369" t="n">
        <v>0</v>
      </c>
      <c r="AP369" t="n">
        <v>2</v>
      </c>
      <c r="AQ369" t="n">
        <v>2</v>
      </c>
      <c r="AR369" t="inlineStr">
        <is>
          <t>No</t>
        </is>
      </c>
      <c r="AS369" t="inlineStr">
        <is>
          <t>No</t>
        </is>
      </c>
      <c r="AU369">
        <f>HYPERLINK("https://creighton-primo.hosted.exlibrisgroup.com/primo-explore/search?tab=default_tab&amp;search_scope=EVERYTHING&amp;vid=01CRU&amp;lang=en_US&amp;offset=0&amp;query=any,contains,991000768569702656","Catalog Record")</f>
        <v/>
      </c>
      <c r="AV369">
        <f>HYPERLINK("http://www.worldcat.org/oclc/20826311","WorldCat Record")</f>
        <v/>
      </c>
      <c r="AW369" t="inlineStr">
        <is>
          <t>3009224:eng</t>
        </is>
      </c>
      <c r="AX369" t="inlineStr">
        <is>
          <t>20826311</t>
        </is>
      </c>
      <c r="AY369" t="inlineStr">
        <is>
          <t>991000768569702656</t>
        </is>
      </c>
      <c r="AZ369" t="inlineStr">
        <is>
          <t>991000768569702656</t>
        </is>
      </c>
      <c r="BA369" t="inlineStr">
        <is>
          <t>2261094080002656</t>
        </is>
      </c>
      <c r="BB369" t="inlineStr">
        <is>
          <t>BOOK</t>
        </is>
      </c>
      <c r="BD369" t="inlineStr">
        <is>
          <t>9781560320562</t>
        </is>
      </c>
      <c r="BE369" t="inlineStr">
        <is>
          <t>30001002061622</t>
        </is>
      </c>
      <c r="BF369" t="inlineStr">
        <is>
          <t>893815413</t>
        </is>
      </c>
    </row>
    <row r="370">
      <c r="A370" t="inlineStr">
        <is>
          <t>No</t>
        </is>
      </c>
      <c r="B370" t="inlineStr">
        <is>
          <t>CUHSL</t>
        </is>
      </c>
      <c r="C370" t="inlineStr">
        <is>
          <t>SHELVES</t>
        </is>
      </c>
      <c r="D370" t="inlineStr">
        <is>
          <t>W 50 B358 1975</t>
        </is>
      </c>
      <c r="E370" t="inlineStr">
        <is>
          <t>0                      W  0050000B  358         1975</t>
        </is>
      </c>
      <c r="F370" t="inlineStr">
        <is>
          <t>Baylor law review : symposium issue - euthanasia.</t>
        </is>
      </c>
      <c r="H370" t="inlineStr">
        <is>
          <t>No</t>
        </is>
      </c>
      <c r="I370" t="inlineStr">
        <is>
          <t>1</t>
        </is>
      </c>
      <c r="J370" t="inlineStr">
        <is>
          <t>No</t>
        </is>
      </c>
      <c r="K370" t="inlineStr">
        <is>
          <t>No</t>
        </is>
      </c>
      <c r="L370" t="inlineStr">
        <is>
          <t>0</t>
        </is>
      </c>
      <c r="N370" t="inlineStr">
        <is>
          <t>-- Waco, Texas : Baylor University Law School, 1975.</t>
        </is>
      </c>
      <c r="O370" t="inlineStr">
        <is>
          <t>1975</t>
        </is>
      </c>
      <c r="Q370" t="inlineStr">
        <is>
          <t>eng</t>
        </is>
      </c>
      <c r="R370" t="inlineStr">
        <is>
          <t>txu</t>
        </is>
      </c>
      <c r="T370" t="inlineStr">
        <is>
          <t xml:space="preserve">W  </t>
        </is>
      </c>
      <c r="U370" t="n">
        <v>3</v>
      </c>
      <c r="V370" t="n">
        <v>3</v>
      </c>
      <c r="W370" t="inlineStr">
        <is>
          <t>1991-10-09</t>
        </is>
      </c>
      <c r="X370" t="inlineStr">
        <is>
          <t>1991-10-09</t>
        </is>
      </c>
      <c r="Y370" t="inlineStr">
        <is>
          <t>1987-10-02</t>
        </is>
      </c>
      <c r="Z370" t="inlineStr">
        <is>
          <t>1987-10-02</t>
        </is>
      </c>
      <c r="AA370" t="n">
        <v>3</v>
      </c>
      <c r="AB370" t="n">
        <v>3</v>
      </c>
      <c r="AC370" t="n">
        <v>3</v>
      </c>
      <c r="AD370" t="n">
        <v>1</v>
      </c>
      <c r="AE370" t="n">
        <v>1</v>
      </c>
      <c r="AF370" t="n">
        <v>0</v>
      </c>
      <c r="AG370" t="n">
        <v>0</v>
      </c>
      <c r="AH370" t="n">
        <v>0</v>
      </c>
      <c r="AI370" t="n">
        <v>0</v>
      </c>
      <c r="AJ370" t="n">
        <v>0</v>
      </c>
      <c r="AK370" t="n">
        <v>0</v>
      </c>
      <c r="AL370" t="n">
        <v>0</v>
      </c>
      <c r="AM370" t="n">
        <v>0</v>
      </c>
      <c r="AN370" t="n">
        <v>0</v>
      </c>
      <c r="AO370" t="n">
        <v>0</v>
      </c>
      <c r="AP370" t="n">
        <v>0</v>
      </c>
      <c r="AQ370" t="n">
        <v>0</v>
      </c>
      <c r="AR370" t="inlineStr">
        <is>
          <t>No</t>
        </is>
      </c>
      <c r="AS370" t="inlineStr">
        <is>
          <t>No</t>
        </is>
      </c>
      <c r="AU370">
        <f>HYPERLINK("https://creighton-primo.hosted.exlibrisgroup.com/primo-explore/search?tab=default_tab&amp;search_scope=EVERYTHING&amp;vid=01CRU&amp;lang=en_US&amp;offset=0&amp;query=any,contains,991001182669702656","Catalog Record")</f>
        <v/>
      </c>
      <c r="AV370">
        <f>HYPERLINK("http://www.worldcat.org/oclc/5049843","WorldCat Record")</f>
        <v/>
      </c>
      <c r="AW370" t="inlineStr">
        <is>
          <t>15264024:eng</t>
        </is>
      </c>
      <c r="AX370" t="inlineStr">
        <is>
          <t>5049843</t>
        </is>
      </c>
      <c r="AY370" t="inlineStr">
        <is>
          <t>991001182669702656</t>
        </is>
      </c>
      <c r="AZ370" t="inlineStr">
        <is>
          <t>991001182669702656</t>
        </is>
      </c>
      <c r="BA370" t="inlineStr">
        <is>
          <t>2254987780002656</t>
        </is>
      </c>
      <c r="BB370" t="inlineStr">
        <is>
          <t>BOOK</t>
        </is>
      </c>
      <c r="BE370" t="inlineStr">
        <is>
          <t>30001000309270</t>
        </is>
      </c>
      <c r="BF370" t="inlineStr">
        <is>
          <t>893284531</t>
        </is>
      </c>
    </row>
    <row r="371">
      <c r="A371" t="inlineStr">
        <is>
          <t>No</t>
        </is>
      </c>
      <c r="B371" t="inlineStr">
        <is>
          <t>CUHSL</t>
        </is>
      </c>
      <c r="C371" t="inlineStr">
        <is>
          <t>SHELVES</t>
        </is>
      </c>
      <c r="D371" t="inlineStr">
        <is>
          <t>W 50 B358r 1984</t>
        </is>
      </c>
      <c r="E371" t="inlineStr">
        <is>
          <t>0                      W  0050000B  358r        1984</t>
        </is>
      </c>
      <c r="F371" t="inlineStr">
        <is>
          <t>Reproductive ethics / Michael D. Bayles.</t>
        </is>
      </c>
      <c r="H371" t="inlineStr">
        <is>
          <t>No</t>
        </is>
      </c>
      <c r="I371" t="inlineStr">
        <is>
          <t>1</t>
        </is>
      </c>
      <c r="J371" t="inlineStr">
        <is>
          <t>No</t>
        </is>
      </c>
      <c r="K371" t="inlineStr">
        <is>
          <t>No</t>
        </is>
      </c>
      <c r="L371" t="inlineStr">
        <is>
          <t>0</t>
        </is>
      </c>
      <c r="M371" t="inlineStr">
        <is>
          <t>Bayles, Michael D.</t>
        </is>
      </c>
      <c r="N371" t="inlineStr">
        <is>
          <t>Englewood Cliffs, N.J. : Prentice-Hall, c1984.</t>
        </is>
      </c>
      <c r="O371" t="inlineStr">
        <is>
          <t>1984</t>
        </is>
      </c>
      <c r="Q371" t="inlineStr">
        <is>
          <t>eng</t>
        </is>
      </c>
      <c r="R371" t="inlineStr">
        <is>
          <t>nju</t>
        </is>
      </c>
      <c r="S371" t="inlineStr">
        <is>
          <t>Prentice-Hall series in the philosophy of medicine</t>
        </is>
      </c>
      <c r="T371" t="inlineStr">
        <is>
          <t xml:space="preserve">W  </t>
        </is>
      </c>
      <c r="U371" t="n">
        <v>20</v>
      </c>
      <c r="V371" t="n">
        <v>20</v>
      </c>
      <c r="W371" t="inlineStr">
        <is>
          <t>2005-10-20</t>
        </is>
      </c>
      <c r="X371" t="inlineStr">
        <is>
          <t>2005-10-20</t>
        </is>
      </c>
      <c r="Y371" t="inlineStr">
        <is>
          <t>1987-10-02</t>
        </is>
      </c>
      <c r="Z371" t="inlineStr">
        <is>
          <t>1987-10-02</t>
        </is>
      </c>
      <c r="AA371" t="n">
        <v>479</v>
      </c>
      <c r="AB371" t="n">
        <v>397</v>
      </c>
      <c r="AC371" t="n">
        <v>399</v>
      </c>
      <c r="AD371" t="n">
        <v>2</v>
      </c>
      <c r="AE371" t="n">
        <v>2</v>
      </c>
      <c r="AF371" t="n">
        <v>23</v>
      </c>
      <c r="AG371" t="n">
        <v>23</v>
      </c>
      <c r="AH371" t="n">
        <v>11</v>
      </c>
      <c r="AI371" t="n">
        <v>11</v>
      </c>
      <c r="AJ371" t="n">
        <v>4</v>
      </c>
      <c r="AK371" t="n">
        <v>4</v>
      </c>
      <c r="AL371" t="n">
        <v>13</v>
      </c>
      <c r="AM371" t="n">
        <v>13</v>
      </c>
      <c r="AN371" t="n">
        <v>1</v>
      </c>
      <c r="AO371" t="n">
        <v>1</v>
      </c>
      <c r="AP371" t="n">
        <v>1</v>
      </c>
      <c r="AQ371" t="n">
        <v>1</v>
      </c>
      <c r="AR371" t="inlineStr">
        <is>
          <t>No</t>
        </is>
      </c>
      <c r="AS371" t="inlineStr">
        <is>
          <t>Yes</t>
        </is>
      </c>
      <c r="AT371">
        <f>HYPERLINK("http://catalog.hathitrust.org/Record/000124126","HathiTrust Record")</f>
        <v/>
      </c>
      <c r="AU371">
        <f>HYPERLINK("https://creighton-primo.hosted.exlibrisgroup.com/primo-explore/search?tab=default_tab&amp;search_scope=EVERYTHING&amp;vid=01CRU&amp;lang=en_US&amp;offset=0&amp;query=any,contains,991001182719702656","Catalog Record")</f>
        <v/>
      </c>
      <c r="AV371">
        <f>HYPERLINK("http://www.worldcat.org/oclc/9896581","WorldCat Record")</f>
        <v/>
      </c>
      <c r="AW371" t="inlineStr">
        <is>
          <t>43542084:eng</t>
        </is>
      </c>
      <c r="AX371" t="inlineStr">
        <is>
          <t>9896581</t>
        </is>
      </c>
      <c r="AY371" t="inlineStr">
        <is>
          <t>991001182719702656</t>
        </is>
      </c>
      <c r="AZ371" t="inlineStr">
        <is>
          <t>991001182719702656</t>
        </is>
      </c>
      <c r="BA371" t="inlineStr">
        <is>
          <t>2264317670002656</t>
        </is>
      </c>
      <c r="BB371" t="inlineStr">
        <is>
          <t>BOOK</t>
        </is>
      </c>
      <c r="BD371" t="inlineStr">
        <is>
          <t>9780137739042</t>
        </is>
      </c>
      <c r="BE371" t="inlineStr">
        <is>
          <t>30001000309296</t>
        </is>
      </c>
      <c r="BF371" t="inlineStr">
        <is>
          <t>893168054</t>
        </is>
      </c>
    </row>
    <row r="372">
      <c r="A372" t="inlineStr">
        <is>
          <t>No</t>
        </is>
      </c>
      <c r="B372" t="inlineStr">
        <is>
          <t>CUHSL</t>
        </is>
      </c>
      <c r="C372" t="inlineStr">
        <is>
          <t>SHELVES</t>
        </is>
      </c>
      <c r="D372" t="inlineStr">
        <is>
          <t>W 50 B372m 1984</t>
        </is>
      </c>
      <c r="E372" t="inlineStr">
        <is>
          <t>0                      W  0050000B  372m        1984</t>
        </is>
      </c>
      <c r="F372" t="inlineStr">
        <is>
          <t>Medical ethics, the moral responsibilities of physicians / Tom L. Beauchamp, Laurence B. McCullough.</t>
        </is>
      </c>
      <c r="H372" t="inlineStr">
        <is>
          <t>No</t>
        </is>
      </c>
      <c r="I372" t="inlineStr">
        <is>
          <t>1</t>
        </is>
      </c>
      <c r="J372" t="inlineStr">
        <is>
          <t>Yes</t>
        </is>
      </c>
      <c r="K372" t="inlineStr">
        <is>
          <t>No</t>
        </is>
      </c>
      <c r="L372" t="inlineStr">
        <is>
          <t>0</t>
        </is>
      </c>
      <c r="M372" t="inlineStr">
        <is>
          <t>Beauchamp, Tom L.</t>
        </is>
      </c>
      <c r="N372" t="inlineStr">
        <is>
          <t>Englewood Cliffs, N.J. : Prentice-Hall, c1984.</t>
        </is>
      </c>
      <c r="O372" t="inlineStr">
        <is>
          <t>1984</t>
        </is>
      </c>
      <c r="Q372" t="inlineStr">
        <is>
          <t>eng</t>
        </is>
      </c>
      <c r="R372" t="inlineStr">
        <is>
          <t>xxu</t>
        </is>
      </c>
      <c r="S372" t="inlineStr">
        <is>
          <t>Occupational ethics series</t>
        </is>
      </c>
      <c r="T372" t="inlineStr">
        <is>
          <t xml:space="preserve">W  </t>
        </is>
      </c>
      <c r="U372" t="n">
        <v>11</v>
      </c>
      <c r="V372" t="n">
        <v>11</v>
      </c>
      <c r="W372" t="inlineStr">
        <is>
          <t>2000-02-20</t>
        </is>
      </c>
      <c r="X372" t="inlineStr">
        <is>
          <t>2000-02-20</t>
        </is>
      </c>
      <c r="Y372" t="inlineStr">
        <is>
          <t>1987-10-05</t>
        </is>
      </c>
      <c r="Z372" t="inlineStr">
        <is>
          <t>1987-10-05</t>
        </is>
      </c>
      <c r="AA372" t="n">
        <v>369</v>
      </c>
      <c r="AB372" t="n">
        <v>283</v>
      </c>
      <c r="AC372" t="n">
        <v>285</v>
      </c>
      <c r="AD372" t="n">
        <v>2</v>
      </c>
      <c r="AE372" t="n">
        <v>2</v>
      </c>
      <c r="AF372" t="n">
        <v>14</v>
      </c>
      <c r="AG372" t="n">
        <v>14</v>
      </c>
      <c r="AH372" t="n">
        <v>3</v>
      </c>
      <c r="AI372" t="n">
        <v>3</v>
      </c>
      <c r="AJ372" t="n">
        <v>4</v>
      </c>
      <c r="AK372" t="n">
        <v>4</v>
      </c>
      <c r="AL372" t="n">
        <v>11</v>
      </c>
      <c r="AM372" t="n">
        <v>11</v>
      </c>
      <c r="AN372" t="n">
        <v>0</v>
      </c>
      <c r="AO372" t="n">
        <v>0</v>
      </c>
      <c r="AP372" t="n">
        <v>1</v>
      </c>
      <c r="AQ372" t="n">
        <v>1</v>
      </c>
      <c r="AR372" t="inlineStr">
        <is>
          <t>No</t>
        </is>
      </c>
      <c r="AS372" t="inlineStr">
        <is>
          <t>Yes</t>
        </is>
      </c>
      <c r="AT372">
        <f>HYPERLINK("http://catalog.hathitrust.org/Record/000286765","HathiTrust Record")</f>
        <v/>
      </c>
      <c r="AU372">
        <f>HYPERLINK("https://creighton-primo.hosted.exlibrisgroup.com/primo-explore/search?tab=default_tab&amp;search_scope=EVERYTHING&amp;vid=01CRU&amp;lang=en_US&amp;offset=0&amp;query=any,contains,991000753659702656","Catalog Record")</f>
        <v/>
      </c>
      <c r="AV372">
        <f>HYPERLINK("http://www.worldcat.org/oclc/10072140","WorldCat Record")</f>
        <v/>
      </c>
      <c r="AW372" t="inlineStr">
        <is>
          <t>366139856:eng</t>
        </is>
      </c>
      <c r="AX372" t="inlineStr">
        <is>
          <t>10072140</t>
        </is>
      </c>
      <c r="AY372" t="inlineStr">
        <is>
          <t>991000753659702656</t>
        </is>
      </c>
      <c r="AZ372" t="inlineStr">
        <is>
          <t>991000753659702656</t>
        </is>
      </c>
      <c r="BA372" t="inlineStr">
        <is>
          <t>2264987560002656</t>
        </is>
      </c>
      <c r="BB372" t="inlineStr">
        <is>
          <t>BOOK</t>
        </is>
      </c>
      <c r="BD372" t="inlineStr">
        <is>
          <t>9780135726525</t>
        </is>
      </c>
      <c r="BE372" t="inlineStr">
        <is>
          <t>30001000051724</t>
        </is>
      </c>
      <c r="BF372" t="inlineStr">
        <is>
          <t>893540414</t>
        </is>
      </c>
    </row>
    <row r="373">
      <c r="A373" t="inlineStr">
        <is>
          <t>No</t>
        </is>
      </c>
      <c r="B373" t="inlineStr">
        <is>
          <t>CUHSL</t>
        </is>
      </c>
      <c r="C373" t="inlineStr">
        <is>
          <t>SHELVES</t>
        </is>
      </c>
      <c r="D373" t="inlineStr">
        <is>
          <t>W 50 B414r 1970</t>
        </is>
      </c>
      <c r="E373" t="inlineStr">
        <is>
          <t>0                      W  0050000B  414r        1970</t>
        </is>
      </c>
      <c r="F373" t="inlineStr">
        <is>
          <t>Research and the individual : human studies / by Henry K. Beecher.</t>
        </is>
      </c>
      <c r="H373" t="inlineStr">
        <is>
          <t>No</t>
        </is>
      </c>
      <c r="I373" t="inlineStr">
        <is>
          <t>1</t>
        </is>
      </c>
      <c r="J373" t="inlineStr">
        <is>
          <t>No</t>
        </is>
      </c>
      <c r="K373" t="inlineStr">
        <is>
          <t>No</t>
        </is>
      </c>
      <c r="L373" t="inlineStr">
        <is>
          <t>0</t>
        </is>
      </c>
      <c r="M373" t="inlineStr">
        <is>
          <t>Beecher, Henry K. (Henry Knowles), 1904-1976.</t>
        </is>
      </c>
      <c r="N373" t="inlineStr">
        <is>
          <t>Boston : Little, Brown, c1970.</t>
        </is>
      </c>
      <c r="O373" t="inlineStr">
        <is>
          <t>1970</t>
        </is>
      </c>
      <c r="P373" t="inlineStr">
        <is>
          <t>1st ed.</t>
        </is>
      </c>
      <c r="Q373" t="inlineStr">
        <is>
          <t>eng</t>
        </is>
      </c>
      <c r="R373" t="inlineStr">
        <is>
          <t>mau</t>
        </is>
      </c>
      <c r="T373" t="inlineStr">
        <is>
          <t xml:space="preserve">W  </t>
        </is>
      </c>
      <c r="U373" t="n">
        <v>8</v>
      </c>
      <c r="V373" t="n">
        <v>8</v>
      </c>
      <c r="W373" t="inlineStr">
        <is>
          <t>1996-10-01</t>
        </is>
      </c>
      <c r="X373" t="inlineStr">
        <is>
          <t>1996-10-01</t>
        </is>
      </c>
      <c r="Y373" t="inlineStr">
        <is>
          <t>1987-10-02</t>
        </is>
      </c>
      <c r="Z373" t="inlineStr">
        <is>
          <t>1987-10-02</t>
        </is>
      </c>
      <c r="AA373" t="n">
        <v>393</v>
      </c>
      <c r="AB373" t="n">
        <v>308</v>
      </c>
      <c r="AC373" t="n">
        <v>310</v>
      </c>
      <c r="AD373" t="n">
        <v>2</v>
      </c>
      <c r="AE373" t="n">
        <v>2</v>
      </c>
      <c r="AF373" t="n">
        <v>14</v>
      </c>
      <c r="AG373" t="n">
        <v>14</v>
      </c>
      <c r="AH373" t="n">
        <v>4</v>
      </c>
      <c r="AI373" t="n">
        <v>4</v>
      </c>
      <c r="AJ373" t="n">
        <v>2</v>
      </c>
      <c r="AK373" t="n">
        <v>2</v>
      </c>
      <c r="AL373" t="n">
        <v>7</v>
      </c>
      <c r="AM373" t="n">
        <v>7</v>
      </c>
      <c r="AN373" t="n">
        <v>1</v>
      </c>
      <c r="AO373" t="n">
        <v>1</v>
      </c>
      <c r="AP373" t="n">
        <v>2</v>
      </c>
      <c r="AQ373" t="n">
        <v>2</v>
      </c>
      <c r="AR373" t="inlineStr">
        <is>
          <t>No</t>
        </is>
      </c>
      <c r="AS373" t="inlineStr">
        <is>
          <t>Yes</t>
        </is>
      </c>
      <c r="AT373">
        <f>HYPERLINK("http://catalog.hathitrust.org/Record/001557848","HathiTrust Record")</f>
        <v/>
      </c>
      <c r="AU373">
        <f>HYPERLINK("https://creighton-primo.hosted.exlibrisgroup.com/primo-explore/search?tab=default_tab&amp;search_scope=EVERYTHING&amp;vid=01CRU&amp;lang=en_US&amp;offset=0&amp;query=any,contains,991001182759702656","Catalog Record")</f>
        <v/>
      </c>
      <c r="AV373">
        <f>HYPERLINK("http://www.worldcat.org/oclc/61789","WorldCat Record")</f>
        <v/>
      </c>
      <c r="AW373" t="inlineStr">
        <is>
          <t>836644911:eng</t>
        </is>
      </c>
      <c r="AX373" t="inlineStr">
        <is>
          <t>61789</t>
        </is>
      </c>
      <c r="AY373" t="inlineStr">
        <is>
          <t>991001182759702656</t>
        </is>
      </c>
      <c r="AZ373" t="inlineStr">
        <is>
          <t>991001182759702656</t>
        </is>
      </c>
      <c r="BA373" t="inlineStr">
        <is>
          <t>2255240690002656</t>
        </is>
      </c>
      <c r="BB373" t="inlineStr">
        <is>
          <t>BOOK</t>
        </is>
      </c>
      <c r="BE373" t="inlineStr">
        <is>
          <t>30001000309304</t>
        </is>
      </c>
      <c r="BF373" t="inlineStr">
        <is>
          <t>893740851</t>
        </is>
      </c>
    </row>
    <row r="374">
      <c r="A374" t="inlineStr">
        <is>
          <t>No</t>
        </is>
      </c>
      <c r="B374" t="inlineStr">
        <is>
          <t>CUHSL</t>
        </is>
      </c>
      <c r="C374" t="inlineStr">
        <is>
          <t>SHELVES</t>
        </is>
      </c>
      <c r="D374" t="inlineStr">
        <is>
          <t>W 50 B432f 1993</t>
        </is>
      </c>
      <c r="E374" t="inlineStr">
        <is>
          <t>0                      W  0050000B  432f        1993</t>
        </is>
      </c>
      <c r="F374" t="inlineStr">
        <is>
          <t>First, do no harm : a summer of life and death decisions at a Texas hospital / Lisa Belkin.</t>
        </is>
      </c>
      <c r="H374" t="inlineStr">
        <is>
          <t>No</t>
        </is>
      </c>
      <c r="I374" t="inlineStr">
        <is>
          <t>1</t>
        </is>
      </c>
      <c r="J374" t="inlineStr">
        <is>
          <t>No</t>
        </is>
      </c>
      <c r="K374" t="inlineStr">
        <is>
          <t>No</t>
        </is>
      </c>
      <c r="L374" t="inlineStr">
        <is>
          <t>0</t>
        </is>
      </c>
      <c r="M374" t="inlineStr">
        <is>
          <t>Belkin, Lisa, 1960-</t>
        </is>
      </c>
      <c r="N374" t="inlineStr">
        <is>
          <t>New York : Simon &amp; Schuster, c1993.</t>
        </is>
      </c>
      <c r="O374" t="inlineStr">
        <is>
          <t>1993</t>
        </is>
      </c>
      <c r="Q374" t="inlineStr">
        <is>
          <t>eng</t>
        </is>
      </c>
      <c r="R374" t="inlineStr">
        <is>
          <t>nyu</t>
        </is>
      </c>
      <c r="T374" t="inlineStr">
        <is>
          <t xml:space="preserve">W  </t>
        </is>
      </c>
      <c r="U374" t="n">
        <v>14</v>
      </c>
      <c r="V374" t="n">
        <v>14</v>
      </c>
      <c r="W374" t="inlineStr">
        <is>
          <t>1997-10-28</t>
        </is>
      </c>
      <c r="X374" t="inlineStr">
        <is>
          <t>1997-10-28</t>
        </is>
      </c>
      <c r="Y374" t="inlineStr">
        <is>
          <t>1993-02-03</t>
        </is>
      </c>
      <c r="Z374" t="inlineStr">
        <is>
          <t>1993-02-03</t>
        </is>
      </c>
      <c r="AA374" t="n">
        <v>756</v>
      </c>
      <c r="AB374" t="n">
        <v>715</v>
      </c>
      <c r="AC374" t="n">
        <v>840</v>
      </c>
      <c r="AD374" t="n">
        <v>2</v>
      </c>
      <c r="AE374" t="n">
        <v>3</v>
      </c>
      <c r="AF374" t="n">
        <v>16</v>
      </c>
      <c r="AG374" t="n">
        <v>19</v>
      </c>
      <c r="AH374" t="n">
        <v>4</v>
      </c>
      <c r="AI374" t="n">
        <v>5</v>
      </c>
      <c r="AJ374" t="n">
        <v>3</v>
      </c>
      <c r="AK374" t="n">
        <v>3</v>
      </c>
      <c r="AL374" t="n">
        <v>11</v>
      </c>
      <c r="AM374" t="n">
        <v>12</v>
      </c>
      <c r="AN374" t="n">
        <v>0</v>
      </c>
      <c r="AO374" t="n">
        <v>1</v>
      </c>
      <c r="AP374" t="n">
        <v>3</v>
      </c>
      <c r="AQ374" t="n">
        <v>3</v>
      </c>
      <c r="AR374" t="inlineStr">
        <is>
          <t>No</t>
        </is>
      </c>
      <c r="AS374" t="inlineStr">
        <is>
          <t>Yes</t>
        </is>
      </c>
      <c r="AT374">
        <f>HYPERLINK("http://catalog.hathitrust.org/Record/002809796","HathiTrust Record")</f>
        <v/>
      </c>
      <c r="AU374">
        <f>HYPERLINK("https://creighton-primo.hosted.exlibrisgroup.com/primo-explore/search?tab=default_tab&amp;search_scope=EVERYTHING&amp;vid=01CRU&amp;lang=en_US&amp;offset=0&amp;query=any,contains,991001428609702656","Catalog Record")</f>
        <v/>
      </c>
      <c r="AV374">
        <f>HYPERLINK("http://www.worldcat.org/oclc/26673411","WorldCat Record")</f>
        <v/>
      </c>
      <c r="AW374" t="inlineStr">
        <is>
          <t>1974868:eng</t>
        </is>
      </c>
      <c r="AX374" t="inlineStr">
        <is>
          <t>26673411</t>
        </is>
      </c>
      <c r="AY374" t="inlineStr">
        <is>
          <t>991001428609702656</t>
        </is>
      </c>
      <c r="AZ374" t="inlineStr">
        <is>
          <t>991001428609702656</t>
        </is>
      </c>
      <c r="BA374" t="inlineStr">
        <is>
          <t>2270080770002656</t>
        </is>
      </c>
      <c r="BB374" t="inlineStr">
        <is>
          <t>BOOK</t>
        </is>
      </c>
      <c r="BD374" t="inlineStr">
        <is>
          <t>9780671685386</t>
        </is>
      </c>
      <c r="BE374" t="inlineStr">
        <is>
          <t>30001002527846</t>
        </is>
      </c>
      <c r="BF374" t="inlineStr">
        <is>
          <t>893455800</t>
        </is>
      </c>
    </row>
    <row r="375">
      <c r="A375" t="inlineStr">
        <is>
          <t>No</t>
        </is>
      </c>
      <c r="B375" t="inlineStr">
        <is>
          <t>CUHSL</t>
        </is>
      </c>
      <c r="C375" t="inlineStr">
        <is>
          <t>SHELVES</t>
        </is>
      </c>
      <c r="D375" t="inlineStr">
        <is>
          <t>W 50 B615 1989</t>
        </is>
      </c>
      <c r="E375" t="inlineStr">
        <is>
          <t>0                      W  0050000B  615         1989</t>
        </is>
      </c>
      <c r="F375" t="inlineStr">
        <is>
          <t>Biomedical ethics reviews, 1988 : AIDS and ethics / edited by James M. Humber and Robert F. Almeder.</t>
        </is>
      </c>
      <c r="H375" t="inlineStr">
        <is>
          <t>No</t>
        </is>
      </c>
      <c r="I375" t="inlineStr">
        <is>
          <t>1</t>
        </is>
      </c>
      <c r="J375" t="inlineStr">
        <is>
          <t>No</t>
        </is>
      </c>
      <c r="K375" t="inlineStr">
        <is>
          <t>No</t>
        </is>
      </c>
      <c r="L375" t="inlineStr">
        <is>
          <t>0</t>
        </is>
      </c>
      <c r="N375" t="inlineStr">
        <is>
          <t>Clifton, N.J. : Humana Press, c1989.</t>
        </is>
      </c>
      <c r="O375" t="inlineStr">
        <is>
          <t>1989</t>
        </is>
      </c>
      <c r="Q375" t="inlineStr">
        <is>
          <t>eng</t>
        </is>
      </c>
      <c r="R375" t="inlineStr">
        <is>
          <t>nju</t>
        </is>
      </c>
      <c r="S375" t="inlineStr">
        <is>
          <t>Biomedical ethics reviews ; 1988</t>
        </is>
      </c>
      <c r="T375" t="inlineStr">
        <is>
          <t xml:space="preserve">W  </t>
        </is>
      </c>
      <c r="U375" t="n">
        <v>9</v>
      </c>
      <c r="V375" t="n">
        <v>9</v>
      </c>
      <c r="W375" t="inlineStr">
        <is>
          <t>1993-04-13</t>
        </is>
      </c>
      <c r="X375" t="inlineStr">
        <is>
          <t>1993-04-13</t>
        </is>
      </c>
      <c r="Y375" t="inlineStr">
        <is>
          <t>1989-02-13</t>
        </is>
      </c>
      <c r="Z375" t="inlineStr">
        <is>
          <t>1989-02-13</t>
        </is>
      </c>
      <c r="AA375" t="n">
        <v>49</v>
      </c>
      <c r="AB375" t="n">
        <v>46</v>
      </c>
      <c r="AC375" t="n">
        <v>47</v>
      </c>
      <c r="AD375" t="n">
        <v>1</v>
      </c>
      <c r="AE375" t="n">
        <v>1</v>
      </c>
      <c r="AF375" t="n">
        <v>3</v>
      </c>
      <c r="AG375" t="n">
        <v>3</v>
      </c>
      <c r="AH375" t="n">
        <v>1</v>
      </c>
      <c r="AI375" t="n">
        <v>1</v>
      </c>
      <c r="AJ375" t="n">
        <v>1</v>
      </c>
      <c r="AK375" t="n">
        <v>1</v>
      </c>
      <c r="AL375" t="n">
        <v>1</v>
      </c>
      <c r="AM375" t="n">
        <v>1</v>
      </c>
      <c r="AN375" t="n">
        <v>0</v>
      </c>
      <c r="AO375" t="n">
        <v>0</v>
      </c>
      <c r="AP375" t="n">
        <v>0</v>
      </c>
      <c r="AQ375" t="n">
        <v>0</v>
      </c>
      <c r="AR375" t="inlineStr">
        <is>
          <t>No</t>
        </is>
      </c>
      <c r="AS375" t="inlineStr">
        <is>
          <t>No</t>
        </is>
      </c>
      <c r="AU375">
        <f>HYPERLINK("https://creighton-primo.hosted.exlibrisgroup.com/primo-explore/search?tab=default_tab&amp;search_scope=EVERYTHING&amp;vid=01CRU&amp;lang=en_US&amp;offset=0&amp;query=any,contains,991001122769702656","Catalog Record")</f>
        <v/>
      </c>
      <c r="AV375">
        <f>HYPERLINK("http://www.worldcat.org/oclc/19870285","WorldCat Record")</f>
        <v/>
      </c>
      <c r="AW375" t="inlineStr">
        <is>
          <t>2558527652:eng</t>
        </is>
      </c>
      <c r="AX375" t="inlineStr">
        <is>
          <t>19870285</t>
        </is>
      </c>
      <c r="AY375" t="inlineStr">
        <is>
          <t>991001122769702656</t>
        </is>
      </c>
      <c r="AZ375" t="inlineStr">
        <is>
          <t>991001122769702656</t>
        </is>
      </c>
      <c r="BA375" t="inlineStr">
        <is>
          <t>2256666960002656</t>
        </is>
      </c>
      <c r="BB375" t="inlineStr">
        <is>
          <t>BOOK</t>
        </is>
      </c>
      <c r="BD375" t="inlineStr">
        <is>
          <t>9780896031531</t>
        </is>
      </c>
      <c r="BE375" t="inlineStr">
        <is>
          <t>30001001614785</t>
        </is>
      </c>
      <c r="BF375" t="inlineStr">
        <is>
          <t>893450889</t>
        </is>
      </c>
    </row>
    <row r="376">
      <c r="A376" t="inlineStr">
        <is>
          <t>No</t>
        </is>
      </c>
      <c r="B376" t="inlineStr">
        <is>
          <t>CUHSL</t>
        </is>
      </c>
      <c r="C376" t="inlineStr">
        <is>
          <t>SHELVES</t>
        </is>
      </c>
      <c r="D376" t="inlineStr">
        <is>
          <t>W 50 B6153 1991</t>
        </is>
      </c>
      <c r="E376" t="inlineStr">
        <is>
          <t>0                      W  0050000B  6153        1991</t>
        </is>
      </c>
      <c r="F376" t="inlineStr">
        <is>
          <t>Biomedical ethics / [edited by] Thomas A. Mappes, Jane S. Zembaty.</t>
        </is>
      </c>
      <c r="H376" t="inlineStr">
        <is>
          <t>No</t>
        </is>
      </c>
      <c r="I376" t="inlineStr">
        <is>
          <t>1</t>
        </is>
      </c>
      <c r="J376" t="inlineStr">
        <is>
          <t>No</t>
        </is>
      </c>
      <c r="K376" t="inlineStr">
        <is>
          <t>Yes</t>
        </is>
      </c>
      <c r="L376" t="inlineStr">
        <is>
          <t>0</t>
        </is>
      </c>
      <c r="N376" t="inlineStr">
        <is>
          <t>New York : McGraw-Hill, c1991.</t>
        </is>
      </c>
      <c r="O376" t="inlineStr">
        <is>
          <t>1991</t>
        </is>
      </c>
      <c r="P376" t="inlineStr">
        <is>
          <t>3rd ed.</t>
        </is>
      </c>
      <c r="Q376" t="inlineStr">
        <is>
          <t>eng</t>
        </is>
      </c>
      <c r="R376" t="inlineStr">
        <is>
          <t>nyu</t>
        </is>
      </c>
      <c r="T376" t="inlineStr">
        <is>
          <t xml:space="preserve">W  </t>
        </is>
      </c>
      <c r="U376" t="n">
        <v>47</v>
      </c>
      <c r="V376" t="n">
        <v>47</v>
      </c>
      <c r="W376" t="inlineStr">
        <is>
          <t>2003-08-28</t>
        </is>
      </c>
      <c r="X376" t="inlineStr">
        <is>
          <t>2003-08-28</t>
        </is>
      </c>
      <c r="Y376" t="inlineStr">
        <is>
          <t>1993-01-15</t>
        </is>
      </c>
      <c r="Z376" t="inlineStr">
        <is>
          <t>1993-01-15</t>
        </is>
      </c>
      <c r="AA376" t="n">
        <v>343</v>
      </c>
      <c r="AB376" t="n">
        <v>270</v>
      </c>
      <c r="AC376" t="n">
        <v>1225</v>
      </c>
      <c r="AD376" t="n">
        <v>1</v>
      </c>
      <c r="AE376" t="n">
        <v>7</v>
      </c>
      <c r="AF376" t="n">
        <v>8</v>
      </c>
      <c r="AG376" t="n">
        <v>47</v>
      </c>
      <c r="AH376" t="n">
        <v>3</v>
      </c>
      <c r="AI376" t="n">
        <v>15</v>
      </c>
      <c r="AJ376" t="n">
        <v>4</v>
      </c>
      <c r="AK376" t="n">
        <v>11</v>
      </c>
      <c r="AL376" t="n">
        <v>3</v>
      </c>
      <c r="AM376" t="n">
        <v>20</v>
      </c>
      <c r="AN376" t="n">
        <v>0</v>
      </c>
      <c r="AO376" t="n">
        <v>4</v>
      </c>
      <c r="AP376" t="n">
        <v>1</v>
      </c>
      <c r="AQ376" t="n">
        <v>8</v>
      </c>
      <c r="AR376" t="inlineStr">
        <is>
          <t>No</t>
        </is>
      </c>
      <c r="AS376" t="inlineStr">
        <is>
          <t>Yes</t>
        </is>
      </c>
      <c r="AT376">
        <f>HYPERLINK("http://catalog.hathitrust.org/Record/002521415","HathiTrust Record")</f>
        <v/>
      </c>
      <c r="AU376">
        <f>HYPERLINK("https://creighton-primo.hosted.exlibrisgroup.com/primo-explore/search?tab=default_tab&amp;search_scope=EVERYTHING&amp;vid=01CRU&amp;lang=en_US&amp;offset=0&amp;query=any,contains,991001432829702656","Catalog Record")</f>
        <v/>
      </c>
      <c r="AV376">
        <f>HYPERLINK("http://www.worldcat.org/oclc/21483682","WorldCat Record")</f>
        <v/>
      </c>
      <c r="AW376" t="inlineStr">
        <is>
          <t>480748930:eng</t>
        </is>
      </c>
      <c r="AX376" t="inlineStr">
        <is>
          <t>21483682</t>
        </is>
      </c>
      <c r="AY376" t="inlineStr">
        <is>
          <t>991001432829702656</t>
        </is>
      </c>
      <c r="AZ376" t="inlineStr">
        <is>
          <t>991001432829702656</t>
        </is>
      </c>
      <c r="BA376" t="inlineStr">
        <is>
          <t>2261508750002656</t>
        </is>
      </c>
      <c r="BB376" t="inlineStr">
        <is>
          <t>BOOK</t>
        </is>
      </c>
      <c r="BD376" t="inlineStr">
        <is>
          <t>9780070401266</t>
        </is>
      </c>
      <c r="BE376" t="inlineStr">
        <is>
          <t>30001002530113</t>
        </is>
      </c>
      <c r="BF376" t="inlineStr">
        <is>
          <t>893134570</t>
        </is>
      </c>
    </row>
    <row r="377">
      <c r="A377" t="inlineStr">
        <is>
          <t>No</t>
        </is>
      </c>
      <c r="B377" t="inlineStr">
        <is>
          <t>CUHSL</t>
        </is>
      </c>
      <c r="C377" t="inlineStr">
        <is>
          <t>SHELVES</t>
        </is>
      </c>
      <c r="D377" t="inlineStr">
        <is>
          <t>W 50 B6153 1996</t>
        </is>
      </c>
      <c r="E377" t="inlineStr">
        <is>
          <t>0                      W  0050000B  6153        1996</t>
        </is>
      </c>
      <c r="F377" t="inlineStr">
        <is>
          <t>Biomedical ethics.</t>
        </is>
      </c>
      <c r="H377" t="inlineStr">
        <is>
          <t>No</t>
        </is>
      </c>
      <c r="I377" t="inlineStr">
        <is>
          <t>1</t>
        </is>
      </c>
      <c r="J377" t="inlineStr">
        <is>
          <t>No</t>
        </is>
      </c>
      <c r="K377" t="inlineStr">
        <is>
          <t>Yes</t>
        </is>
      </c>
      <c r="L377" t="inlineStr">
        <is>
          <t>0</t>
        </is>
      </c>
      <c r="N377" t="inlineStr">
        <is>
          <t>New York : McGraw-Hill, c1996.</t>
        </is>
      </c>
      <c r="O377" t="inlineStr">
        <is>
          <t>1996</t>
        </is>
      </c>
      <c r="P377" t="inlineStr">
        <is>
          <t>4th ed. / [edited by] Thomas A. Mappes, David DeGrazia.</t>
        </is>
      </c>
      <c r="Q377" t="inlineStr">
        <is>
          <t>eng</t>
        </is>
      </c>
      <c r="R377" t="inlineStr">
        <is>
          <t>nyu</t>
        </is>
      </c>
      <c r="T377" t="inlineStr">
        <is>
          <t xml:space="preserve">W  </t>
        </is>
      </c>
      <c r="U377" t="n">
        <v>3</v>
      </c>
      <c r="V377" t="n">
        <v>3</v>
      </c>
      <c r="W377" t="inlineStr">
        <is>
          <t>2005-09-02</t>
        </is>
      </c>
      <c r="X377" t="inlineStr">
        <is>
          <t>2005-09-02</t>
        </is>
      </c>
      <c r="Y377" t="inlineStr">
        <is>
          <t>1999-10-08</t>
        </is>
      </c>
      <c r="Z377" t="inlineStr">
        <is>
          <t>1999-10-08</t>
        </is>
      </c>
      <c r="AA377" t="n">
        <v>284</v>
      </c>
      <c r="AB377" t="n">
        <v>217</v>
      </c>
      <c r="AC377" t="n">
        <v>1225</v>
      </c>
      <c r="AD377" t="n">
        <v>2</v>
      </c>
      <c r="AE377" t="n">
        <v>7</v>
      </c>
      <c r="AF377" t="n">
        <v>11</v>
      </c>
      <c r="AG377" t="n">
        <v>47</v>
      </c>
      <c r="AH377" t="n">
        <v>2</v>
      </c>
      <c r="AI377" t="n">
        <v>15</v>
      </c>
      <c r="AJ377" t="n">
        <v>4</v>
      </c>
      <c r="AK377" t="n">
        <v>11</v>
      </c>
      <c r="AL377" t="n">
        <v>6</v>
      </c>
      <c r="AM377" t="n">
        <v>20</v>
      </c>
      <c r="AN377" t="n">
        <v>1</v>
      </c>
      <c r="AO377" t="n">
        <v>4</v>
      </c>
      <c r="AP377" t="n">
        <v>0</v>
      </c>
      <c r="AQ377" t="n">
        <v>8</v>
      </c>
      <c r="AR377" t="inlineStr">
        <is>
          <t>No</t>
        </is>
      </c>
      <c r="AS377" t="inlineStr">
        <is>
          <t>Yes</t>
        </is>
      </c>
      <c r="AT377">
        <f>HYPERLINK("http://catalog.hathitrust.org/Record/003094153","HathiTrust Record")</f>
        <v/>
      </c>
      <c r="AU377">
        <f>HYPERLINK("https://creighton-primo.hosted.exlibrisgroup.com/primo-explore/search?tab=default_tab&amp;search_scope=EVERYTHING&amp;vid=01CRU&amp;lang=en_US&amp;offset=0&amp;query=any,contains,991000782339702656","Catalog Record")</f>
        <v/>
      </c>
      <c r="AV377">
        <f>HYPERLINK("http://www.worldcat.org/oclc/32590843","WorldCat Record")</f>
        <v/>
      </c>
      <c r="AW377" t="inlineStr">
        <is>
          <t>480748930:eng</t>
        </is>
      </c>
      <c r="AX377" t="inlineStr">
        <is>
          <t>32590843</t>
        </is>
      </c>
      <c r="AY377" t="inlineStr">
        <is>
          <t>991000782339702656</t>
        </is>
      </c>
      <c r="AZ377" t="inlineStr">
        <is>
          <t>991000782339702656</t>
        </is>
      </c>
      <c r="BA377" t="inlineStr">
        <is>
          <t>2272070400002656</t>
        </is>
      </c>
      <c r="BB377" t="inlineStr">
        <is>
          <t>BOOK</t>
        </is>
      </c>
      <c r="BD377" t="inlineStr">
        <is>
          <t>9780070401419</t>
        </is>
      </c>
      <c r="BE377" t="inlineStr">
        <is>
          <t>30001004069979</t>
        </is>
      </c>
      <c r="BF377" t="inlineStr">
        <is>
          <t>893368549</t>
        </is>
      </c>
    </row>
    <row r="378">
      <c r="A378" t="inlineStr">
        <is>
          <t>No</t>
        </is>
      </c>
      <c r="B378" t="inlineStr">
        <is>
          <t>CUHSL</t>
        </is>
      </c>
      <c r="C378" t="inlineStr">
        <is>
          <t>SHELVES</t>
        </is>
      </c>
      <c r="D378" t="inlineStr">
        <is>
          <t>W 50 B6156 1987</t>
        </is>
      </c>
      <c r="E378" t="inlineStr">
        <is>
          <t>0                      W  0050000B  6156        1987</t>
        </is>
      </c>
      <c r="F378" t="inlineStr">
        <is>
          <t>Biomedical ethics : opposing viewpoints / Bonnie Szumski, Susan Bursell, &amp; Julie S. Bach, book editors.</t>
        </is>
      </c>
      <c r="H378" t="inlineStr">
        <is>
          <t>No</t>
        </is>
      </c>
      <c r="I378" t="inlineStr">
        <is>
          <t>1</t>
        </is>
      </c>
      <c r="J378" t="inlineStr">
        <is>
          <t>No</t>
        </is>
      </c>
      <c r="K378" t="inlineStr">
        <is>
          <t>Yes</t>
        </is>
      </c>
      <c r="L378" t="inlineStr">
        <is>
          <t>0</t>
        </is>
      </c>
      <c r="N378" t="inlineStr">
        <is>
          <t>St. Paul, Minn. : Greenhaven Press, c1987.</t>
        </is>
      </c>
      <c r="O378" t="inlineStr">
        <is>
          <t>1987</t>
        </is>
      </c>
      <c r="Q378" t="inlineStr">
        <is>
          <t>eng</t>
        </is>
      </c>
      <c r="R378" t="inlineStr">
        <is>
          <t>xxu</t>
        </is>
      </c>
      <c r="S378" t="inlineStr">
        <is>
          <t>Opposing viewpoints series</t>
        </is>
      </c>
      <c r="T378" t="inlineStr">
        <is>
          <t xml:space="preserve">W  </t>
        </is>
      </c>
      <c r="U378" t="n">
        <v>19</v>
      </c>
      <c r="V378" t="n">
        <v>19</v>
      </c>
      <c r="W378" t="inlineStr">
        <is>
          <t>2004-03-23</t>
        </is>
      </c>
      <c r="X378" t="inlineStr">
        <is>
          <t>2004-03-23</t>
        </is>
      </c>
      <c r="Y378" t="inlineStr">
        <is>
          <t>1987-10-02</t>
        </is>
      </c>
      <c r="Z378" t="inlineStr">
        <is>
          <t>1987-10-02</t>
        </is>
      </c>
      <c r="AA378" t="n">
        <v>39</v>
      </c>
      <c r="AB378" t="n">
        <v>37</v>
      </c>
      <c r="AC378" t="n">
        <v>929</v>
      </c>
      <c r="AD378" t="n">
        <v>1</v>
      </c>
      <c r="AE378" t="n">
        <v>13</v>
      </c>
      <c r="AF378" t="n">
        <v>0</v>
      </c>
      <c r="AG378" t="n">
        <v>16</v>
      </c>
      <c r="AH378" t="n">
        <v>0</v>
      </c>
      <c r="AI378" t="n">
        <v>6</v>
      </c>
      <c r="AJ378" t="n">
        <v>0</v>
      </c>
      <c r="AK378" t="n">
        <v>2</v>
      </c>
      <c r="AL378" t="n">
        <v>0</v>
      </c>
      <c r="AM378" t="n">
        <v>8</v>
      </c>
      <c r="AN378" t="n">
        <v>0</v>
      </c>
      <c r="AO378" t="n">
        <v>4</v>
      </c>
      <c r="AP378" t="n">
        <v>0</v>
      </c>
      <c r="AQ378" t="n">
        <v>0</v>
      </c>
      <c r="AR378" t="inlineStr">
        <is>
          <t>No</t>
        </is>
      </c>
      <c r="AS378" t="inlineStr">
        <is>
          <t>No</t>
        </is>
      </c>
      <c r="AU378">
        <f>HYPERLINK("https://creighton-primo.hosted.exlibrisgroup.com/primo-explore/search?tab=default_tab&amp;search_scope=EVERYTHING&amp;vid=01CRU&amp;lang=en_US&amp;offset=0&amp;query=any,contains,991000761499702656","Catalog Record")</f>
        <v/>
      </c>
      <c r="AV378">
        <f>HYPERLINK("http://www.worldcat.org/oclc/14966400","WorldCat Record")</f>
        <v/>
      </c>
      <c r="AW378" t="inlineStr">
        <is>
          <t>918874953:eng</t>
        </is>
      </c>
      <c r="AX378" t="inlineStr">
        <is>
          <t>14966400</t>
        </is>
      </c>
      <c r="AY378" t="inlineStr">
        <is>
          <t>991000761499702656</t>
        </is>
      </c>
      <c r="AZ378" t="inlineStr">
        <is>
          <t>991000761499702656</t>
        </is>
      </c>
      <c r="BA378" t="inlineStr">
        <is>
          <t>2264153600002656</t>
        </is>
      </c>
      <c r="BB378" t="inlineStr">
        <is>
          <t>BOOK</t>
        </is>
      </c>
      <c r="BD378" t="inlineStr">
        <is>
          <t>9780899083964</t>
        </is>
      </c>
      <c r="BE378" t="inlineStr">
        <is>
          <t>30001000056277</t>
        </is>
      </c>
      <c r="BF378" t="inlineStr">
        <is>
          <t>893726754</t>
        </is>
      </c>
    </row>
    <row r="379">
      <c r="A379" t="inlineStr">
        <is>
          <t>No</t>
        </is>
      </c>
      <c r="B379" t="inlineStr">
        <is>
          <t>CUHSL</t>
        </is>
      </c>
      <c r="C379" t="inlineStr">
        <is>
          <t>SHELVES</t>
        </is>
      </c>
      <c r="D379" t="inlineStr">
        <is>
          <t>W 50 B6156 2003</t>
        </is>
      </c>
      <c r="E379" t="inlineStr">
        <is>
          <t>0                      W  0050000B  6156        2003</t>
        </is>
      </c>
      <c r="F379" t="inlineStr">
        <is>
          <t>Biomedical ethics / Roman Espejo, book editor.</t>
        </is>
      </c>
      <c r="H379" t="inlineStr">
        <is>
          <t>No</t>
        </is>
      </c>
      <c r="I379" t="inlineStr">
        <is>
          <t>1</t>
        </is>
      </c>
      <c r="J379" t="inlineStr">
        <is>
          <t>No</t>
        </is>
      </c>
      <c r="K379" t="inlineStr">
        <is>
          <t>No</t>
        </is>
      </c>
      <c r="L379" t="inlineStr">
        <is>
          <t>0</t>
        </is>
      </c>
      <c r="N379" t="inlineStr">
        <is>
          <t>Farmington Hills, MI : Greenhaven Press, c2003.</t>
        </is>
      </c>
      <c r="O379" t="inlineStr">
        <is>
          <t>2003</t>
        </is>
      </c>
      <c r="Q379" t="inlineStr">
        <is>
          <t>eng</t>
        </is>
      </c>
      <c r="R379" t="inlineStr">
        <is>
          <t>miu</t>
        </is>
      </c>
      <c r="S379" t="inlineStr">
        <is>
          <t>Opposing viewpoints</t>
        </is>
      </c>
      <c r="T379" t="inlineStr">
        <is>
          <t xml:space="preserve">W  </t>
        </is>
      </c>
      <c r="U379" t="n">
        <v>1</v>
      </c>
      <c r="V379" t="n">
        <v>1</v>
      </c>
      <c r="W379" t="inlineStr">
        <is>
          <t>2004-09-13</t>
        </is>
      </c>
      <c r="X379" t="inlineStr">
        <is>
          <t>2004-09-13</t>
        </is>
      </c>
      <c r="Y379" t="inlineStr">
        <is>
          <t>2004-09-07</t>
        </is>
      </c>
      <c r="Z379" t="inlineStr">
        <is>
          <t>2004-09-07</t>
        </is>
      </c>
      <c r="AA379" t="n">
        <v>432</v>
      </c>
      <c r="AB379" t="n">
        <v>415</v>
      </c>
      <c r="AC379" t="n">
        <v>833</v>
      </c>
      <c r="AD379" t="n">
        <v>3</v>
      </c>
      <c r="AE379" t="n">
        <v>9</v>
      </c>
      <c r="AF379" t="n">
        <v>2</v>
      </c>
      <c r="AG379" t="n">
        <v>9</v>
      </c>
      <c r="AH379" t="n">
        <v>1</v>
      </c>
      <c r="AI379" t="n">
        <v>1</v>
      </c>
      <c r="AJ379" t="n">
        <v>1</v>
      </c>
      <c r="AK379" t="n">
        <v>2</v>
      </c>
      <c r="AL379" t="n">
        <v>0</v>
      </c>
      <c r="AM379" t="n">
        <v>3</v>
      </c>
      <c r="AN379" t="n">
        <v>0</v>
      </c>
      <c r="AO379" t="n">
        <v>3</v>
      </c>
      <c r="AP379" t="n">
        <v>0</v>
      </c>
      <c r="AQ379" t="n">
        <v>0</v>
      </c>
      <c r="AR379" t="inlineStr">
        <is>
          <t>No</t>
        </is>
      </c>
      <c r="AS379" t="inlineStr">
        <is>
          <t>Yes</t>
        </is>
      </c>
      <c r="AT379">
        <f>HYPERLINK("http://catalog.hathitrust.org/Record/004767010","HathiTrust Record")</f>
        <v/>
      </c>
      <c r="AU379">
        <f>HYPERLINK("https://creighton-primo.hosted.exlibrisgroup.com/primo-explore/search?tab=default_tab&amp;search_scope=EVERYTHING&amp;vid=01CRU&amp;lang=en_US&amp;offset=0&amp;query=any,contains,991000383449702656","Catalog Record")</f>
        <v/>
      </c>
      <c r="AV379">
        <f>HYPERLINK("http://www.worldcat.org/oclc/49259861","WorldCat Record")</f>
        <v/>
      </c>
      <c r="AW379" t="inlineStr">
        <is>
          <t>56795927:eng</t>
        </is>
      </c>
      <c r="AX379" t="inlineStr">
        <is>
          <t>49259861</t>
        </is>
      </c>
      <c r="AY379" t="inlineStr">
        <is>
          <t>991000383449702656</t>
        </is>
      </c>
      <c r="AZ379" t="inlineStr">
        <is>
          <t>991000383449702656</t>
        </is>
      </c>
      <c r="BA379" t="inlineStr">
        <is>
          <t>2265293100002656</t>
        </is>
      </c>
      <c r="BB379" t="inlineStr">
        <is>
          <t>BOOK</t>
        </is>
      </c>
      <c r="BD379" t="inlineStr">
        <is>
          <t>9780737712193</t>
        </is>
      </c>
      <c r="BE379" t="inlineStr">
        <is>
          <t>30001004920411</t>
        </is>
      </c>
      <c r="BF379" t="inlineStr">
        <is>
          <t>893163396</t>
        </is>
      </c>
    </row>
    <row r="380">
      <c r="A380" t="inlineStr">
        <is>
          <t>No</t>
        </is>
      </c>
      <c r="B380" t="inlineStr">
        <is>
          <t>CUHSL</t>
        </is>
      </c>
      <c r="C380" t="inlineStr">
        <is>
          <t>SHELVES</t>
        </is>
      </c>
      <c r="D380" t="inlineStr">
        <is>
          <t>W 50 B642r 1984</t>
        </is>
      </c>
      <c r="E380" t="inlineStr">
        <is>
          <t>0                      W  0050000B  642r        1984</t>
        </is>
      </c>
      <c r="F380" t="inlineStr">
        <is>
          <t>Redefining human life : reproductive technologies and social policy / Robert H. Blank.</t>
        </is>
      </c>
      <c r="H380" t="inlineStr">
        <is>
          <t>No</t>
        </is>
      </c>
      <c r="I380" t="inlineStr">
        <is>
          <t>1</t>
        </is>
      </c>
      <c r="J380" t="inlineStr">
        <is>
          <t>No</t>
        </is>
      </c>
      <c r="K380" t="inlineStr">
        <is>
          <t>No</t>
        </is>
      </c>
      <c r="L380" t="inlineStr">
        <is>
          <t>0</t>
        </is>
      </c>
      <c r="M380" t="inlineStr">
        <is>
          <t>Blank, Robert H.</t>
        </is>
      </c>
      <c r="N380" t="inlineStr">
        <is>
          <t>Boulder, Colo. : Westview Press, c1984.</t>
        </is>
      </c>
      <c r="O380" t="inlineStr">
        <is>
          <t>1984</t>
        </is>
      </c>
      <c r="Q380" t="inlineStr">
        <is>
          <t>eng</t>
        </is>
      </c>
      <c r="R380" t="inlineStr">
        <is>
          <t>cou</t>
        </is>
      </c>
      <c r="S380" t="inlineStr">
        <is>
          <t>Westview special studies in science, technology, and public policy/society</t>
        </is>
      </c>
      <c r="T380" t="inlineStr">
        <is>
          <t xml:space="preserve">W  </t>
        </is>
      </c>
      <c r="U380" t="n">
        <v>12</v>
      </c>
      <c r="V380" t="n">
        <v>12</v>
      </c>
      <c r="W380" t="inlineStr">
        <is>
          <t>2001-11-05</t>
        </is>
      </c>
      <c r="X380" t="inlineStr">
        <is>
          <t>2001-11-05</t>
        </is>
      </c>
      <c r="Y380" t="inlineStr">
        <is>
          <t>1987-10-02</t>
        </is>
      </c>
      <c r="Z380" t="inlineStr">
        <is>
          <t>1987-10-02</t>
        </is>
      </c>
      <c r="AA380" t="n">
        <v>288</v>
      </c>
      <c r="AB380" t="n">
        <v>230</v>
      </c>
      <c r="AC380" t="n">
        <v>256</v>
      </c>
      <c r="AD380" t="n">
        <v>4</v>
      </c>
      <c r="AE380" t="n">
        <v>4</v>
      </c>
      <c r="AF380" t="n">
        <v>17</v>
      </c>
      <c r="AG380" t="n">
        <v>17</v>
      </c>
      <c r="AH380" t="n">
        <v>6</v>
      </c>
      <c r="AI380" t="n">
        <v>6</v>
      </c>
      <c r="AJ380" t="n">
        <v>3</v>
      </c>
      <c r="AK380" t="n">
        <v>3</v>
      </c>
      <c r="AL380" t="n">
        <v>9</v>
      </c>
      <c r="AM380" t="n">
        <v>9</v>
      </c>
      <c r="AN380" t="n">
        <v>2</v>
      </c>
      <c r="AO380" t="n">
        <v>2</v>
      </c>
      <c r="AP380" t="n">
        <v>2</v>
      </c>
      <c r="AQ380" t="n">
        <v>2</v>
      </c>
      <c r="AR380" t="inlineStr">
        <is>
          <t>No</t>
        </is>
      </c>
      <c r="AS380" t="inlineStr">
        <is>
          <t>Yes</t>
        </is>
      </c>
      <c r="AT380">
        <f>HYPERLINK("http://catalog.hathitrust.org/Record/002634849","HathiTrust Record")</f>
        <v/>
      </c>
      <c r="AU380">
        <f>HYPERLINK("https://creighton-primo.hosted.exlibrisgroup.com/primo-explore/search?tab=default_tab&amp;search_scope=EVERYTHING&amp;vid=01CRU&amp;lang=en_US&amp;offset=0&amp;query=any,contains,991001183059702656","Catalog Record")</f>
        <v/>
      </c>
      <c r="AV380">
        <f>HYPERLINK("http://www.worldcat.org/oclc/10451468","WorldCat Record")</f>
        <v/>
      </c>
      <c r="AW380" t="inlineStr">
        <is>
          <t>836633348:eng</t>
        </is>
      </c>
      <c r="AX380" t="inlineStr">
        <is>
          <t>10451468</t>
        </is>
      </c>
      <c r="AY380" t="inlineStr">
        <is>
          <t>991001183059702656</t>
        </is>
      </c>
      <c r="AZ380" t="inlineStr">
        <is>
          <t>991001183059702656</t>
        </is>
      </c>
      <c r="BA380" t="inlineStr">
        <is>
          <t>2260827930002656</t>
        </is>
      </c>
      <c r="BB380" t="inlineStr">
        <is>
          <t>BOOK</t>
        </is>
      </c>
      <c r="BD380" t="inlineStr">
        <is>
          <t>9780865316652</t>
        </is>
      </c>
      <c r="BE380" t="inlineStr">
        <is>
          <t>30001000309379</t>
        </is>
      </c>
      <c r="BF380" t="inlineStr">
        <is>
          <t>893834596</t>
        </is>
      </c>
    </row>
    <row r="381">
      <c r="A381" t="inlineStr">
        <is>
          <t>No</t>
        </is>
      </c>
      <c r="B381" t="inlineStr">
        <is>
          <t>CUHSL</t>
        </is>
      </c>
      <c r="C381" t="inlineStr">
        <is>
          <t>SHELVES</t>
        </is>
      </c>
      <c r="D381" t="inlineStr">
        <is>
          <t>W50 B821h 2001</t>
        </is>
      </c>
      <c r="E381" t="inlineStr">
        <is>
          <t>0                      W  0050000B  821h        2001</t>
        </is>
      </c>
      <c r="F381" t="inlineStr">
        <is>
          <t>Healthcare ethics in a diverse society / Michael C. Brannigan, Judith A. Boss.</t>
        </is>
      </c>
      <c r="H381" t="inlineStr">
        <is>
          <t>No</t>
        </is>
      </c>
      <c r="I381" t="inlineStr">
        <is>
          <t>1</t>
        </is>
      </c>
      <c r="J381" t="inlineStr">
        <is>
          <t>No</t>
        </is>
      </c>
      <c r="K381" t="inlineStr">
        <is>
          <t>No</t>
        </is>
      </c>
      <c r="L381" t="inlineStr">
        <is>
          <t>0</t>
        </is>
      </c>
      <c r="M381" t="inlineStr">
        <is>
          <t>Brannigan, Michael C., 1948-</t>
        </is>
      </c>
      <c r="N381" t="inlineStr">
        <is>
          <t>Mountain View, Calif. : Mayfield Pub. Co., c2001.</t>
        </is>
      </c>
      <c r="O381" t="inlineStr">
        <is>
          <t>2001</t>
        </is>
      </c>
      <c r="Q381" t="inlineStr">
        <is>
          <t>eng</t>
        </is>
      </c>
      <c r="R381" t="inlineStr">
        <is>
          <t>cau</t>
        </is>
      </c>
      <c r="T381" t="inlineStr">
        <is>
          <t xml:space="preserve">W  </t>
        </is>
      </c>
      <c r="U381" t="n">
        <v>8</v>
      </c>
      <c r="V381" t="n">
        <v>8</v>
      </c>
      <c r="W381" t="inlineStr">
        <is>
          <t>2007-01-09</t>
        </is>
      </c>
      <c r="X381" t="inlineStr">
        <is>
          <t>2007-01-09</t>
        </is>
      </c>
      <c r="Y381" t="inlineStr">
        <is>
          <t>2004-06-07</t>
        </is>
      </c>
      <c r="Z381" t="inlineStr">
        <is>
          <t>2004-06-07</t>
        </is>
      </c>
      <c r="AA381" t="n">
        <v>144</v>
      </c>
      <c r="AB381" t="n">
        <v>123</v>
      </c>
      <c r="AC381" t="n">
        <v>124</v>
      </c>
      <c r="AD381" t="n">
        <v>2</v>
      </c>
      <c r="AE381" t="n">
        <v>2</v>
      </c>
      <c r="AF381" t="n">
        <v>5</v>
      </c>
      <c r="AG381" t="n">
        <v>5</v>
      </c>
      <c r="AH381" t="n">
        <v>1</v>
      </c>
      <c r="AI381" t="n">
        <v>1</v>
      </c>
      <c r="AJ381" t="n">
        <v>3</v>
      </c>
      <c r="AK381" t="n">
        <v>3</v>
      </c>
      <c r="AL381" t="n">
        <v>3</v>
      </c>
      <c r="AM381" t="n">
        <v>3</v>
      </c>
      <c r="AN381" t="n">
        <v>1</v>
      </c>
      <c r="AO381" t="n">
        <v>1</v>
      </c>
      <c r="AP381" t="n">
        <v>0</v>
      </c>
      <c r="AQ381" t="n">
        <v>0</v>
      </c>
      <c r="AR381" t="inlineStr">
        <is>
          <t>No</t>
        </is>
      </c>
      <c r="AS381" t="inlineStr">
        <is>
          <t>Yes</t>
        </is>
      </c>
      <c r="AT381">
        <f>HYPERLINK("http://catalog.hathitrust.org/Record/007991948","HathiTrust Record")</f>
        <v/>
      </c>
      <c r="AU381">
        <f>HYPERLINK("https://creighton-primo.hosted.exlibrisgroup.com/primo-explore/search?tab=default_tab&amp;search_scope=EVERYTHING&amp;vid=01CRU&amp;lang=en_US&amp;offset=0&amp;query=any,contains,991000373759702656","Catalog Record")</f>
        <v/>
      </c>
      <c r="AV381">
        <f>HYPERLINK("http://www.worldcat.org/oclc/44420470","WorldCat Record")</f>
        <v/>
      </c>
      <c r="AW381" t="inlineStr">
        <is>
          <t>33672354:eng</t>
        </is>
      </c>
      <c r="AX381" t="inlineStr">
        <is>
          <t>44420470</t>
        </is>
      </c>
      <c r="AY381" t="inlineStr">
        <is>
          <t>991000373759702656</t>
        </is>
      </c>
      <c r="AZ381" t="inlineStr">
        <is>
          <t>991000373759702656</t>
        </is>
      </c>
      <c r="BA381" t="inlineStr">
        <is>
          <t>2255165690002656</t>
        </is>
      </c>
      <c r="BB381" t="inlineStr">
        <is>
          <t>BOOK</t>
        </is>
      </c>
      <c r="BD381" t="inlineStr">
        <is>
          <t>9781559349765</t>
        </is>
      </c>
      <c r="BE381" t="inlineStr">
        <is>
          <t>30001004921328</t>
        </is>
      </c>
      <c r="BF381" t="inlineStr">
        <is>
          <t>893275008</t>
        </is>
      </c>
    </row>
    <row r="382">
      <c r="A382" t="inlineStr">
        <is>
          <t>No</t>
        </is>
      </c>
      <c r="B382" t="inlineStr">
        <is>
          <t>CUHSL</t>
        </is>
      </c>
      <c r="C382" t="inlineStr">
        <is>
          <t>SHELVES</t>
        </is>
      </c>
      <c r="D382" t="inlineStr">
        <is>
          <t>W 50 B862h 1981</t>
        </is>
      </c>
      <c r="E382" t="inlineStr">
        <is>
          <t>0                      W  0050000B  862h        1981</t>
        </is>
      </c>
      <c r="F382" t="inlineStr">
        <is>
          <t>The handbook of medical ethics.</t>
        </is>
      </c>
      <c r="H382" t="inlineStr">
        <is>
          <t>No</t>
        </is>
      </c>
      <c r="I382" t="inlineStr">
        <is>
          <t>1</t>
        </is>
      </c>
      <c r="J382" t="inlineStr">
        <is>
          <t>No</t>
        </is>
      </c>
      <c r="K382" t="inlineStr">
        <is>
          <t>No</t>
        </is>
      </c>
      <c r="L382" t="inlineStr">
        <is>
          <t>0</t>
        </is>
      </c>
      <c r="M382" t="inlineStr">
        <is>
          <t>British Medical Association.</t>
        </is>
      </c>
      <c r="N382" t="inlineStr">
        <is>
          <t>London : British Medical Association, c1981.</t>
        </is>
      </c>
      <c r="O382" t="inlineStr">
        <is>
          <t>1981</t>
        </is>
      </c>
      <c r="Q382" t="inlineStr">
        <is>
          <t>eng</t>
        </is>
      </c>
      <c r="R382" t="inlineStr">
        <is>
          <t>enk</t>
        </is>
      </c>
      <c r="T382" t="inlineStr">
        <is>
          <t xml:space="preserve">W  </t>
        </is>
      </c>
      <c r="U382" t="n">
        <v>20</v>
      </c>
      <c r="V382" t="n">
        <v>20</v>
      </c>
      <c r="W382" t="inlineStr">
        <is>
          <t>1998-09-29</t>
        </is>
      </c>
      <c r="X382" t="inlineStr">
        <is>
          <t>1998-09-29</t>
        </is>
      </c>
      <c r="Y382" t="inlineStr">
        <is>
          <t>1987-10-02</t>
        </is>
      </c>
      <c r="Z382" t="inlineStr">
        <is>
          <t>1987-10-02</t>
        </is>
      </c>
      <c r="AA382" t="n">
        <v>89</v>
      </c>
      <c r="AB382" t="n">
        <v>24</v>
      </c>
      <c r="AC382" t="n">
        <v>86</v>
      </c>
      <c r="AD382" t="n">
        <v>1</v>
      </c>
      <c r="AE382" t="n">
        <v>2</v>
      </c>
      <c r="AF382" t="n">
        <v>0</v>
      </c>
      <c r="AG382" t="n">
        <v>5</v>
      </c>
      <c r="AH382" t="n">
        <v>0</v>
      </c>
      <c r="AI382" t="n">
        <v>2</v>
      </c>
      <c r="AJ382" t="n">
        <v>0</v>
      </c>
      <c r="AK382" t="n">
        <v>0</v>
      </c>
      <c r="AL382" t="n">
        <v>0</v>
      </c>
      <c r="AM382" t="n">
        <v>4</v>
      </c>
      <c r="AN382" t="n">
        <v>0</v>
      </c>
      <c r="AO382" t="n">
        <v>1</v>
      </c>
      <c r="AP382" t="n">
        <v>0</v>
      </c>
      <c r="AQ382" t="n">
        <v>0</v>
      </c>
      <c r="AR382" t="inlineStr">
        <is>
          <t>No</t>
        </is>
      </c>
      <c r="AS382" t="inlineStr">
        <is>
          <t>Yes</t>
        </is>
      </c>
      <c r="AT382">
        <f>HYPERLINK("http://catalog.hathitrust.org/Record/000148564","HathiTrust Record")</f>
        <v/>
      </c>
      <c r="AU382">
        <f>HYPERLINK("https://creighton-primo.hosted.exlibrisgroup.com/primo-explore/search?tab=default_tab&amp;search_scope=EVERYTHING&amp;vid=01CRU&amp;lang=en_US&amp;offset=0&amp;query=any,contains,991001183099702656","Catalog Record")</f>
        <v/>
      </c>
      <c r="AV382">
        <f>HYPERLINK("http://www.worldcat.org/oclc/10324844","WorldCat Record")</f>
        <v/>
      </c>
      <c r="AW382" t="inlineStr">
        <is>
          <t>54618296:eng</t>
        </is>
      </c>
      <c r="AX382" t="inlineStr">
        <is>
          <t>10324844</t>
        </is>
      </c>
      <c r="AY382" t="inlineStr">
        <is>
          <t>991001183099702656</t>
        </is>
      </c>
      <c r="AZ382" t="inlineStr">
        <is>
          <t>991001183099702656</t>
        </is>
      </c>
      <c r="BA382" t="inlineStr">
        <is>
          <t>2272596160002656</t>
        </is>
      </c>
      <c r="BB382" t="inlineStr">
        <is>
          <t>BOOK</t>
        </is>
      </c>
      <c r="BD382" t="inlineStr">
        <is>
          <t>9780727900777</t>
        </is>
      </c>
      <c r="BE382" t="inlineStr">
        <is>
          <t>30001000309387</t>
        </is>
      </c>
      <c r="BF382" t="inlineStr">
        <is>
          <t>893168055</t>
        </is>
      </c>
    </row>
    <row r="383">
      <c r="A383" t="inlineStr">
        <is>
          <t>No</t>
        </is>
      </c>
      <c r="B383" t="inlineStr">
        <is>
          <t>CUHSL</t>
        </is>
      </c>
      <c r="C383" t="inlineStr">
        <is>
          <t>SHELVES</t>
        </is>
      </c>
      <c r="D383" t="inlineStr">
        <is>
          <t>W 50 B918d 1990</t>
        </is>
      </c>
      <c r="E383" t="inlineStr">
        <is>
          <t>0                      W  0050000B  918d        1990</t>
        </is>
      </c>
      <c r="F383" t="inlineStr">
        <is>
          <t>Deciding for others : the ethics of surrogate decision making / Allen E. Buchanan and Dan W. Brock.</t>
        </is>
      </c>
      <c r="H383" t="inlineStr">
        <is>
          <t>No</t>
        </is>
      </c>
      <c r="I383" t="inlineStr">
        <is>
          <t>1</t>
        </is>
      </c>
      <c r="J383" t="inlineStr">
        <is>
          <t>Yes</t>
        </is>
      </c>
      <c r="K383" t="inlineStr">
        <is>
          <t>No</t>
        </is>
      </c>
      <c r="L383" t="inlineStr">
        <is>
          <t>0</t>
        </is>
      </c>
      <c r="M383" t="inlineStr">
        <is>
          <t>Buchanan, Allen E., 1948-</t>
        </is>
      </c>
      <c r="N383" t="inlineStr">
        <is>
          <t>Cambridge [England] ; New York : Cambridge University Press, c1990, reprinted 1995.</t>
        </is>
      </c>
      <c r="O383" t="inlineStr">
        <is>
          <t>1990</t>
        </is>
      </c>
      <c r="Q383" t="inlineStr">
        <is>
          <t>eng</t>
        </is>
      </c>
      <c r="R383" t="inlineStr">
        <is>
          <t>enk</t>
        </is>
      </c>
      <c r="S383" t="inlineStr">
        <is>
          <t>Studies in philosophy and health policy</t>
        </is>
      </c>
      <c r="T383" t="inlineStr">
        <is>
          <t xml:space="preserve">W  </t>
        </is>
      </c>
      <c r="U383" t="n">
        <v>11</v>
      </c>
      <c r="V383" t="n">
        <v>12</v>
      </c>
      <c r="W383" t="inlineStr">
        <is>
          <t>2002-03-26</t>
        </is>
      </c>
      <c r="X383" t="inlineStr">
        <is>
          <t>2002-03-26</t>
        </is>
      </c>
      <c r="Y383" t="inlineStr">
        <is>
          <t>1998-04-14</t>
        </is>
      </c>
      <c r="Z383" t="inlineStr">
        <is>
          <t>1998-04-14</t>
        </is>
      </c>
      <c r="AA383" t="n">
        <v>872</v>
      </c>
      <c r="AB383" t="n">
        <v>715</v>
      </c>
      <c r="AC383" t="n">
        <v>753</v>
      </c>
      <c r="AD383" t="n">
        <v>6</v>
      </c>
      <c r="AE383" t="n">
        <v>6</v>
      </c>
      <c r="AF383" t="n">
        <v>39</v>
      </c>
      <c r="AG383" t="n">
        <v>40</v>
      </c>
      <c r="AH383" t="n">
        <v>12</v>
      </c>
      <c r="AI383" t="n">
        <v>13</v>
      </c>
      <c r="AJ383" t="n">
        <v>5</v>
      </c>
      <c r="AK383" t="n">
        <v>5</v>
      </c>
      <c r="AL383" t="n">
        <v>17</v>
      </c>
      <c r="AM383" t="n">
        <v>17</v>
      </c>
      <c r="AN383" t="n">
        <v>3</v>
      </c>
      <c r="AO383" t="n">
        <v>3</v>
      </c>
      <c r="AP383" t="n">
        <v>10</v>
      </c>
      <c r="AQ383" t="n">
        <v>10</v>
      </c>
      <c r="AR383" t="inlineStr">
        <is>
          <t>No</t>
        </is>
      </c>
      <c r="AS383" t="inlineStr">
        <is>
          <t>Yes</t>
        </is>
      </c>
      <c r="AT383">
        <f>HYPERLINK("http://catalog.hathitrust.org/Record/001838351","HathiTrust Record")</f>
        <v/>
      </c>
      <c r="AU383">
        <f>HYPERLINK("https://creighton-primo.hosted.exlibrisgroup.com/primo-explore/search?tab=default_tab&amp;search_scope=EVERYTHING&amp;vid=01CRU&amp;lang=en_US&amp;offset=0&amp;query=any,contains,991001641599702656","Catalog Record")</f>
        <v/>
      </c>
      <c r="AV383">
        <f>HYPERLINK("http://www.worldcat.org/oclc/19670049","WorldCat Record")</f>
        <v/>
      </c>
      <c r="AW383" t="inlineStr">
        <is>
          <t>836898974:eng</t>
        </is>
      </c>
      <c r="AX383" t="inlineStr">
        <is>
          <t>19670049</t>
        </is>
      </c>
      <c r="AY383" t="inlineStr">
        <is>
          <t>991001641599702656</t>
        </is>
      </c>
      <c r="AZ383" t="inlineStr">
        <is>
          <t>991001641599702656</t>
        </is>
      </c>
      <c r="BA383" t="inlineStr">
        <is>
          <t>2266252840002656</t>
        </is>
      </c>
      <c r="BB383" t="inlineStr">
        <is>
          <t>BOOK</t>
        </is>
      </c>
      <c r="BD383" t="inlineStr">
        <is>
          <t>9780521311960</t>
        </is>
      </c>
      <c r="BE383" t="inlineStr">
        <is>
          <t>30001004051274</t>
        </is>
      </c>
      <c r="BF383" t="inlineStr">
        <is>
          <t>893649339</t>
        </is>
      </c>
    </row>
    <row r="384">
      <c r="A384" t="inlineStr">
        <is>
          <t>No</t>
        </is>
      </c>
      <c r="B384" t="inlineStr">
        <is>
          <t>CUHSL</t>
        </is>
      </c>
      <c r="C384" t="inlineStr">
        <is>
          <t>SHELVES</t>
        </is>
      </c>
      <c r="D384" t="inlineStr">
        <is>
          <t>W 50 B993 1986</t>
        </is>
      </c>
      <c r="E384" t="inlineStr">
        <is>
          <t>0                      W  0050000B  993         1986</t>
        </is>
      </c>
      <c r="F384" t="inlineStr">
        <is>
          <t>By no extraordinary means : the choice to forgo life-sustaining food and water / edited by Joanne Lynn.</t>
        </is>
      </c>
      <c r="H384" t="inlineStr">
        <is>
          <t>No</t>
        </is>
      </c>
      <c r="I384" t="inlineStr">
        <is>
          <t>1</t>
        </is>
      </c>
      <c r="J384" t="inlineStr">
        <is>
          <t>No</t>
        </is>
      </c>
      <c r="K384" t="inlineStr">
        <is>
          <t>No</t>
        </is>
      </c>
      <c r="L384" t="inlineStr">
        <is>
          <t>1</t>
        </is>
      </c>
      <c r="N384" t="inlineStr">
        <is>
          <t>Bloomington : Indiana University Press, c1986.</t>
        </is>
      </c>
      <c r="O384" t="inlineStr">
        <is>
          <t>1986</t>
        </is>
      </c>
      <c r="Q384" t="inlineStr">
        <is>
          <t>eng</t>
        </is>
      </c>
      <c r="R384" t="inlineStr">
        <is>
          <t>xxu</t>
        </is>
      </c>
      <c r="S384" t="inlineStr">
        <is>
          <t>Medical ethics series</t>
        </is>
      </c>
      <c r="T384" t="inlineStr">
        <is>
          <t xml:space="preserve">W  </t>
        </is>
      </c>
      <c r="U384" t="n">
        <v>20</v>
      </c>
      <c r="V384" t="n">
        <v>20</v>
      </c>
      <c r="W384" t="inlineStr">
        <is>
          <t>2005-10-20</t>
        </is>
      </c>
      <c r="X384" t="inlineStr">
        <is>
          <t>2005-10-20</t>
        </is>
      </c>
      <c r="Y384" t="inlineStr">
        <is>
          <t>1988-12-14</t>
        </is>
      </c>
      <c r="Z384" t="inlineStr">
        <is>
          <t>1988-12-14</t>
        </is>
      </c>
      <c r="AA384" t="n">
        <v>904</v>
      </c>
      <c r="AB384" t="n">
        <v>834</v>
      </c>
      <c r="AC384" t="n">
        <v>1686</v>
      </c>
      <c r="AD384" t="n">
        <v>5</v>
      </c>
      <c r="AE384" t="n">
        <v>17</v>
      </c>
      <c r="AF384" t="n">
        <v>43</v>
      </c>
      <c r="AG384" t="n">
        <v>69</v>
      </c>
      <c r="AH384" t="n">
        <v>10</v>
      </c>
      <c r="AI384" t="n">
        <v>21</v>
      </c>
      <c r="AJ384" t="n">
        <v>8</v>
      </c>
      <c r="AK384" t="n">
        <v>11</v>
      </c>
      <c r="AL384" t="n">
        <v>22</v>
      </c>
      <c r="AM384" t="n">
        <v>25</v>
      </c>
      <c r="AN384" t="n">
        <v>4</v>
      </c>
      <c r="AO384" t="n">
        <v>15</v>
      </c>
      <c r="AP384" t="n">
        <v>10</v>
      </c>
      <c r="AQ384" t="n">
        <v>11</v>
      </c>
      <c r="AR384" t="inlineStr">
        <is>
          <t>No</t>
        </is>
      </c>
      <c r="AS384" t="inlineStr">
        <is>
          <t>Yes</t>
        </is>
      </c>
      <c r="AT384">
        <f>HYPERLINK("http://catalog.hathitrust.org/Record/000634205","HathiTrust Record")</f>
        <v/>
      </c>
      <c r="AU384">
        <f>HYPERLINK("https://creighton-primo.hosted.exlibrisgroup.com/primo-explore/search?tab=default_tab&amp;search_scope=EVERYTHING&amp;vid=01CRU&amp;lang=en_US&amp;offset=0&amp;query=any,contains,991001105469702656","Catalog Record")</f>
        <v/>
      </c>
      <c r="AV384">
        <f>HYPERLINK("http://www.worldcat.org/oclc/13217895","WorldCat Record")</f>
        <v/>
      </c>
      <c r="AW384" t="inlineStr">
        <is>
          <t>797109483:eng</t>
        </is>
      </c>
      <c r="AX384" t="inlineStr">
        <is>
          <t>13217895</t>
        </is>
      </c>
      <c r="AY384" t="inlineStr">
        <is>
          <t>991001105469702656</t>
        </is>
      </c>
      <c r="AZ384" t="inlineStr">
        <is>
          <t>991001105469702656</t>
        </is>
      </c>
      <c r="BA384" t="inlineStr">
        <is>
          <t>2261990350002656</t>
        </is>
      </c>
      <c r="BB384" t="inlineStr">
        <is>
          <t>BOOK</t>
        </is>
      </c>
      <c r="BD384" t="inlineStr">
        <is>
          <t>9780253312877</t>
        </is>
      </c>
      <c r="BE384" t="inlineStr">
        <is>
          <t>30001001610833</t>
        </is>
      </c>
      <c r="BF384" t="inlineStr">
        <is>
          <t>893820909</t>
        </is>
      </c>
    </row>
    <row r="385">
      <c r="A385" t="inlineStr">
        <is>
          <t>No</t>
        </is>
      </c>
      <c r="B385" t="inlineStr">
        <is>
          <t>CUHSL</t>
        </is>
      </c>
      <c r="C385" t="inlineStr">
        <is>
          <t>SHELVES</t>
        </is>
      </c>
      <c r="D385" t="inlineStr">
        <is>
          <t>W 50 C132n</t>
        </is>
      </c>
      <c r="E385" t="inlineStr">
        <is>
          <t>0                      W  0050000C  132n</t>
        </is>
      </c>
      <c r="F385" t="inlineStr">
        <is>
          <t>New problems in medical ethics / edited in English by Peter Flood ; translated by Malachy Gerard Carroll.</t>
        </is>
      </c>
      <c r="G385" t="inlineStr">
        <is>
          <t>V. 2</t>
        </is>
      </c>
      <c r="H385" t="inlineStr">
        <is>
          <t>Yes</t>
        </is>
      </c>
      <c r="I385" t="inlineStr">
        <is>
          <t>1</t>
        </is>
      </c>
      <c r="J385" t="inlineStr">
        <is>
          <t>No</t>
        </is>
      </c>
      <c r="K385" t="inlineStr">
        <is>
          <t>Yes</t>
        </is>
      </c>
      <c r="L385" t="inlineStr">
        <is>
          <t>0</t>
        </is>
      </c>
      <c r="M385" t="inlineStr">
        <is>
          <t>Cahiers Laënnec.</t>
        </is>
      </c>
      <c r="N385" t="inlineStr">
        <is>
          <t>Cork, Ire. : Mercier Press, c1962.</t>
        </is>
      </c>
      <c r="O385" t="inlineStr">
        <is>
          <t>1962</t>
        </is>
      </c>
      <c r="Q385" t="inlineStr">
        <is>
          <t>eng</t>
        </is>
      </c>
      <c r="R385" t="inlineStr">
        <is>
          <t xml:space="preserve">ie </t>
        </is>
      </c>
      <c r="T385" t="inlineStr">
        <is>
          <t xml:space="preserve">W  </t>
        </is>
      </c>
      <c r="U385" t="n">
        <v>3</v>
      </c>
      <c r="V385" t="n">
        <v>7</v>
      </c>
      <c r="X385" t="inlineStr">
        <is>
          <t>1992-09-21</t>
        </is>
      </c>
      <c r="Y385" t="inlineStr">
        <is>
          <t>1987-10-08</t>
        </is>
      </c>
      <c r="Z385" t="inlineStr">
        <is>
          <t>1987-10-08</t>
        </is>
      </c>
      <c r="AA385" t="n">
        <v>32</v>
      </c>
      <c r="AB385" t="n">
        <v>14</v>
      </c>
      <c r="AC385" t="n">
        <v>180</v>
      </c>
      <c r="AD385" t="n">
        <v>1</v>
      </c>
      <c r="AE385" t="n">
        <v>3</v>
      </c>
      <c r="AF385" t="n">
        <v>2</v>
      </c>
      <c r="AG385" t="n">
        <v>25</v>
      </c>
      <c r="AH385" t="n">
        <v>1</v>
      </c>
      <c r="AI385" t="n">
        <v>9</v>
      </c>
      <c r="AJ385" t="n">
        <v>0</v>
      </c>
      <c r="AK385" t="n">
        <v>5</v>
      </c>
      <c r="AL385" t="n">
        <v>2</v>
      </c>
      <c r="AM385" t="n">
        <v>19</v>
      </c>
      <c r="AN385" t="n">
        <v>0</v>
      </c>
      <c r="AO385" t="n">
        <v>1</v>
      </c>
      <c r="AP385" t="n">
        <v>0</v>
      </c>
      <c r="AQ385" t="n">
        <v>0</v>
      </c>
      <c r="AR385" t="inlineStr">
        <is>
          <t>No</t>
        </is>
      </c>
      <c r="AS385" t="inlineStr">
        <is>
          <t>No</t>
        </is>
      </c>
      <c r="AU385">
        <f>HYPERLINK("https://creighton-primo.hosted.exlibrisgroup.com/primo-explore/search?tab=default_tab&amp;search_scope=EVERYTHING&amp;vid=01CRU&amp;lang=en_US&amp;offset=0&amp;query=any,contains,991001183239702656","Catalog Record")</f>
        <v/>
      </c>
      <c r="AV385">
        <f>HYPERLINK("http://www.worldcat.org/oclc/4757659","WorldCat Record")</f>
        <v/>
      </c>
      <c r="AW385" t="inlineStr">
        <is>
          <t>53999634:eng</t>
        </is>
      </c>
      <c r="AX385" t="inlineStr">
        <is>
          <t>4757659</t>
        </is>
      </c>
      <c r="AY385" t="inlineStr">
        <is>
          <t>991001183239702656</t>
        </is>
      </c>
      <c r="AZ385" t="inlineStr">
        <is>
          <t>991001183239702656</t>
        </is>
      </c>
      <c r="BA385" t="inlineStr">
        <is>
          <t>2263298860002656</t>
        </is>
      </c>
      <c r="BB385" t="inlineStr">
        <is>
          <t>BOOK</t>
        </is>
      </c>
      <c r="BE385" t="inlineStr">
        <is>
          <t>30001000309452</t>
        </is>
      </c>
      <c r="BF385" t="inlineStr">
        <is>
          <t>893278846</t>
        </is>
      </c>
    </row>
    <row r="386">
      <c r="A386" t="inlineStr">
        <is>
          <t>No</t>
        </is>
      </c>
      <c r="B386" t="inlineStr">
        <is>
          <t>CUHSL</t>
        </is>
      </c>
      <c r="C386" t="inlineStr">
        <is>
          <t>SHELVES</t>
        </is>
      </c>
      <c r="D386" t="inlineStr">
        <is>
          <t>W 50 C132n</t>
        </is>
      </c>
      <c r="E386" t="inlineStr">
        <is>
          <t>0                      W  0050000C  132n</t>
        </is>
      </c>
      <c r="F386" t="inlineStr">
        <is>
          <t>New problems in medical ethics / edited in English by Peter Flood ; translated by Malachy Gerard Carroll.</t>
        </is>
      </c>
      <c r="G386" t="inlineStr">
        <is>
          <t>V. 1</t>
        </is>
      </c>
      <c r="H386" t="inlineStr">
        <is>
          <t>Yes</t>
        </is>
      </c>
      <c r="I386" t="inlineStr">
        <is>
          <t>1</t>
        </is>
      </c>
      <c r="J386" t="inlineStr">
        <is>
          <t>No</t>
        </is>
      </c>
      <c r="K386" t="inlineStr">
        <is>
          <t>Yes</t>
        </is>
      </c>
      <c r="L386" t="inlineStr">
        <is>
          <t>0</t>
        </is>
      </c>
      <c r="M386" t="inlineStr">
        <is>
          <t>Cahiers Laënnec.</t>
        </is>
      </c>
      <c r="N386" t="inlineStr">
        <is>
          <t>Cork, Ire. : Mercier Press, c1962.</t>
        </is>
      </c>
      <c r="O386" t="inlineStr">
        <is>
          <t>1962</t>
        </is>
      </c>
      <c r="Q386" t="inlineStr">
        <is>
          <t>eng</t>
        </is>
      </c>
      <c r="R386" t="inlineStr">
        <is>
          <t xml:space="preserve">ie </t>
        </is>
      </c>
      <c r="T386" t="inlineStr">
        <is>
          <t xml:space="preserve">W  </t>
        </is>
      </c>
      <c r="U386" t="n">
        <v>4</v>
      </c>
      <c r="V386" t="n">
        <v>7</v>
      </c>
      <c r="W386" t="inlineStr">
        <is>
          <t>1992-09-21</t>
        </is>
      </c>
      <c r="X386" t="inlineStr">
        <is>
          <t>1992-09-21</t>
        </is>
      </c>
      <c r="Y386" t="inlineStr">
        <is>
          <t>1987-10-08</t>
        </is>
      </c>
      <c r="Z386" t="inlineStr">
        <is>
          <t>1987-10-08</t>
        </is>
      </c>
      <c r="AA386" t="n">
        <v>32</v>
      </c>
      <c r="AB386" t="n">
        <v>14</v>
      </c>
      <c r="AC386" t="n">
        <v>180</v>
      </c>
      <c r="AD386" t="n">
        <v>1</v>
      </c>
      <c r="AE386" t="n">
        <v>3</v>
      </c>
      <c r="AF386" t="n">
        <v>2</v>
      </c>
      <c r="AG386" t="n">
        <v>25</v>
      </c>
      <c r="AH386" t="n">
        <v>1</v>
      </c>
      <c r="AI386" t="n">
        <v>9</v>
      </c>
      <c r="AJ386" t="n">
        <v>0</v>
      </c>
      <c r="AK386" t="n">
        <v>5</v>
      </c>
      <c r="AL386" t="n">
        <v>2</v>
      </c>
      <c r="AM386" t="n">
        <v>19</v>
      </c>
      <c r="AN386" t="n">
        <v>0</v>
      </c>
      <c r="AO386" t="n">
        <v>1</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HYPERLINK("https://creighton-primo.hosted.exlibrisgroup.com/primo-explore/search?tab=default_tab&amp;search_scope=EVERYTHING&amp;vid=01CRU&amp;lang=en_US&amp;offset=0&amp;query=any,contains,991001183239702656","Catalog Record")</f>
        <v/>
      </c>
      <c r="AV386">
        <f>HYPERLINK("http://www.worldcat.org/oclc/4757659","WorldCat Record")</f>
        <v/>
      </c>
      <c r="AW386" t="inlineStr">
        <is>
          <t>53999634:eng</t>
        </is>
      </c>
      <c r="AX386" t="inlineStr">
        <is>
          <t>4757659</t>
        </is>
      </c>
      <c r="AY386" t="inlineStr">
        <is>
          <t>991001183239702656</t>
        </is>
      </c>
      <c r="AZ386" t="inlineStr">
        <is>
          <t>991001183239702656</t>
        </is>
      </c>
      <c r="BA386" t="inlineStr">
        <is>
          <t>2263298860002656</t>
        </is>
      </c>
      <c r="BB386" t="inlineStr">
        <is>
          <t>BOOK</t>
        </is>
      </c>
      <c r="BE386" t="inlineStr">
        <is>
          <t>30001000309395</t>
        </is>
      </c>
      <c r="BF386" t="inlineStr">
        <is>
          <t>893278847</t>
        </is>
      </c>
    </row>
    <row r="387">
      <c r="A387" t="inlineStr">
        <is>
          <t>No</t>
        </is>
      </c>
      <c r="B387" t="inlineStr">
        <is>
          <t>CUHSL</t>
        </is>
      </c>
      <c r="C387" t="inlineStr">
        <is>
          <t>SHELVES</t>
        </is>
      </c>
      <c r="D387" t="inlineStr">
        <is>
          <t>W 50 C187p 1992</t>
        </is>
      </c>
      <c r="E387" t="inlineStr">
        <is>
          <t>0                      W  0050000C  187p        1992</t>
        </is>
      </c>
      <c r="F387" t="inlineStr">
        <is>
          <t>Practical medical ethics / Alastair Campbell, Grant Gillett, Gareth Jones.</t>
        </is>
      </c>
      <c r="H387" t="inlineStr">
        <is>
          <t>No</t>
        </is>
      </c>
      <c r="I387" t="inlineStr">
        <is>
          <t>1</t>
        </is>
      </c>
      <c r="J387" t="inlineStr">
        <is>
          <t>No</t>
        </is>
      </c>
      <c r="K387" t="inlineStr">
        <is>
          <t>No</t>
        </is>
      </c>
      <c r="L387" t="inlineStr">
        <is>
          <t>0</t>
        </is>
      </c>
      <c r="M387" t="inlineStr">
        <is>
          <t>Campbell, Alastair V.</t>
        </is>
      </c>
      <c r="N387" t="inlineStr">
        <is>
          <t>Auckland ; New York : Oxford University Press, c1992.</t>
        </is>
      </c>
      <c r="O387" t="inlineStr">
        <is>
          <t>1992</t>
        </is>
      </c>
      <c r="Q387" t="inlineStr">
        <is>
          <t>eng</t>
        </is>
      </c>
      <c r="R387" t="inlineStr">
        <is>
          <t xml:space="preserve">nz </t>
        </is>
      </c>
      <c r="T387" t="inlineStr">
        <is>
          <t xml:space="preserve">W  </t>
        </is>
      </c>
      <c r="U387" t="n">
        <v>26</v>
      </c>
      <c r="V387" t="n">
        <v>26</v>
      </c>
      <c r="W387" t="inlineStr">
        <is>
          <t>2004-04-12</t>
        </is>
      </c>
      <c r="X387" t="inlineStr">
        <is>
          <t>2004-04-12</t>
        </is>
      </c>
      <c r="Y387" t="inlineStr">
        <is>
          <t>1993-07-13</t>
        </is>
      </c>
      <c r="Z387" t="inlineStr">
        <is>
          <t>1993-07-13</t>
        </is>
      </c>
      <c r="AA387" t="n">
        <v>278</v>
      </c>
      <c r="AB387" t="n">
        <v>170</v>
      </c>
      <c r="AC387" t="n">
        <v>177</v>
      </c>
      <c r="AD387" t="n">
        <v>1</v>
      </c>
      <c r="AE387" t="n">
        <v>1</v>
      </c>
      <c r="AF387" t="n">
        <v>12</v>
      </c>
      <c r="AG387" t="n">
        <v>12</v>
      </c>
      <c r="AH387" t="n">
        <v>5</v>
      </c>
      <c r="AI387" t="n">
        <v>5</v>
      </c>
      <c r="AJ387" t="n">
        <v>2</v>
      </c>
      <c r="AK387" t="n">
        <v>2</v>
      </c>
      <c r="AL387" t="n">
        <v>6</v>
      </c>
      <c r="AM387" t="n">
        <v>6</v>
      </c>
      <c r="AN387" t="n">
        <v>0</v>
      </c>
      <c r="AO387" t="n">
        <v>0</v>
      </c>
      <c r="AP387" t="n">
        <v>3</v>
      </c>
      <c r="AQ387" t="n">
        <v>3</v>
      </c>
      <c r="AR387" t="inlineStr">
        <is>
          <t>No</t>
        </is>
      </c>
      <c r="AS387" t="inlineStr">
        <is>
          <t>Yes</t>
        </is>
      </c>
      <c r="AT387">
        <f>HYPERLINK("http://catalog.hathitrust.org/Record/002612509","HathiTrust Record")</f>
        <v/>
      </c>
      <c r="AU387">
        <f>HYPERLINK("https://creighton-primo.hosted.exlibrisgroup.com/primo-explore/search?tab=default_tab&amp;search_scope=EVERYTHING&amp;vid=01CRU&amp;lang=en_US&amp;offset=0&amp;query=any,contains,991001480699702656","Catalog Record")</f>
        <v/>
      </c>
      <c r="AV387">
        <f>HYPERLINK("http://www.worldcat.org/oclc/27265295","WorldCat Record")</f>
        <v/>
      </c>
      <c r="AW387" t="inlineStr">
        <is>
          <t>3857320183:eng</t>
        </is>
      </c>
      <c r="AX387" t="inlineStr">
        <is>
          <t>27265295</t>
        </is>
      </c>
      <c r="AY387" t="inlineStr">
        <is>
          <t>991001480699702656</t>
        </is>
      </c>
      <c r="AZ387" t="inlineStr">
        <is>
          <t>991001480699702656</t>
        </is>
      </c>
      <c r="BA387" t="inlineStr">
        <is>
          <t>2261851630002656</t>
        </is>
      </c>
      <c r="BB387" t="inlineStr">
        <is>
          <t>BOOK</t>
        </is>
      </c>
      <c r="BD387" t="inlineStr">
        <is>
          <t>9780195582345</t>
        </is>
      </c>
      <c r="BE387" t="inlineStr">
        <is>
          <t>30001002569186</t>
        </is>
      </c>
      <c r="BF387" t="inlineStr">
        <is>
          <t>893561046</t>
        </is>
      </c>
    </row>
    <row r="388">
      <c r="A388" t="inlineStr">
        <is>
          <t>No</t>
        </is>
      </c>
      <c r="B388" t="inlineStr">
        <is>
          <t>CUHSL</t>
        </is>
      </c>
      <c r="C388" t="inlineStr">
        <is>
          <t>SHELVES</t>
        </is>
      </c>
      <c r="D388" t="inlineStr">
        <is>
          <t>W50 C187p 2005</t>
        </is>
      </c>
      <c r="E388" t="inlineStr">
        <is>
          <t>0                      W  0050000C  187p        2005</t>
        </is>
      </c>
      <c r="F388" t="inlineStr">
        <is>
          <t>Medical ethics / Alastair Campbell, Grant Gillett, and Gareth Jones.</t>
        </is>
      </c>
      <c r="H388" t="inlineStr">
        <is>
          <t>No</t>
        </is>
      </c>
      <c r="I388" t="inlineStr">
        <is>
          <t>1</t>
        </is>
      </c>
      <c r="J388" t="inlineStr">
        <is>
          <t>No</t>
        </is>
      </c>
      <c r="K388" t="inlineStr">
        <is>
          <t>No</t>
        </is>
      </c>
      <c r="L388" t="inlineStr">
        <is>
          <t>0</t>
        </is>
      </c>
      <c r="M388" t="inlineStr">
        <is>
          <t>Campbell, Alastair V.</t>
        </is>
      </c>
      <c r="N388" t="inlineStr">
        <is>
          <t>South Melbourne, Vic. ; New York : Oxford University Press, 2005.</t>
        </is>
      </c>
      <c r="O388" t="inlineStr">
        <is>
          <t>2005</t>
        </is>
      </c>
      <c r="P388" t="inlineStr">
        <is>
          <t>4th ed.</t>
        </is>
      </c>
      <c r="Q388" t="inlineStr">
        <is>
          <t>eng</t>
        </is>
      </c>
      <c r="R388" t="inlineStr">
        <is>
          <t xml:space="preserve">at </t>
        </is>
      </c>
      <c r="T388" t="inlineStr">
        <is>
          <t xml:space="preserve">W  </t>
        </is>
      </c>
      <c r="U388" t="n">
        <v>3</v>
      </c>
      <c r="V388" t="n">
        <v>3</v>
      </c>
      <c r="W388" t="inlineStr">
        <is>
          <t>2010-09-15</t>
        </is>
      </c>
      <c r="X388" t="inlineStr">
        <is>
          <t>2010-09-15</t>
        </is>
      </c>
      <c r="Y388" t="inlineStr">
        <is>
          <t>2006-04-10</t>
        </is>
      </c>
      <c r="Z388" t="inlineStr">
        <is>
          <t>2006-04-10</t>
        </is>
      </c>
      <c r="AA388" t="n">
        <v>205</v>
      </c>
      <c r="AB388" t="n">
        <v>94</v>
      </c>
      <c r="AC388" t="n">
        <v>231</v>
      </c>
      <c r="AD388" t="n">
        <v>1</v>
      </c>
      <c r="AE388" t="n">
        <v>1</v>
      </c>
      <c r="AF388" t="n">
        <v>8</v>
      </c>
      <c r="AG388" t="n">
        <v>15</v>
      </c>
      <c r="AH388" t="n">
        <v>2</v>
      </c>
      <c r="AI388" t="n">
        <v>4</v>
      </c>
      <c r="AJ388" t="n">
        <v>2</v>
      </c>
      <c r="AK388" t="n">
        <v>3</v>
      </c>
      <c r="AL388" t="n">
        <v>6</v>
      </c>
      <c r="AM388" t="n">
        <v>8</v>
      </c>
      <c r="AN388" t="n">
        <v>0</v>
      </c>
      <c r="AO388" t="n">
        <v>0</v>
      </c>
      <c r="AP388" t="n">
        <v>0</v>
      </c>
      <c r="AQ388" t="n">
        <v>3</v>
      </c>
      <c r="AR388" t="inlineStr">
        <is>
          <t>No</t>
        </is>
      </c>
      <c r="AS388" t="inlineStr">
        <is>
          <t>Yes</t>
        </is>
      </c>
      <c r="AT388">
        <f>HYPERLINK("http://catalog.hathitrust.org/Record/005070443","HathiTrust Record")</f>
        <v/>
      </c>
      <c r="AU388">
        <f>HYPERLINK("https://creighton-primo.hosted.exlibrisgroup.com/primo-explore/search?tab=default_tab&amp;search_scope=EVERYTHING&amp;vid=01CRU&amp;lang=en_US&amp;offset=0&amp;query=any,contains,991000473679702656","Catalog Record")</f>
        <v/>
      </c>
      <c r="AV388">
        <f>HYPERLINK("http://www.worldcat.org/oclc/61301736","WorldCat Record")</f>
        <v/>
      </c>
      <c r="AW388" t="inlineStr">
        <is>
          <t>987709:eng</t>
        </is>
      </c>
      <c r="AX388" t="inlineStr">
        <is>
          <t>61301736</t>
        </is>
      </c>
      <c r="AY388" t="inlineStr">
        <is>
          <t>991000473679702656</t>
        </is>
      </c>
      <c r="AZ388" t="inlineStr">
        <is>
          <t>991000473679702656</t>
        </is>
      </c>
      <c r="BA388" t="inlineStr">
        <is>
          <t>2258099680002656</t>
        </is>
      </c>
      <c r="BB388" t="inlineStr">
        <is>
          <t>BOOK</t>
        </is>
      </c>
      <c r="BD388" t="inlineStr">
        <is>
          <t>9780195584875</t>
        </is>
      </c>
      <c r="BE388" t="inlineStr">
        <is>
          <t>30001004914331</t>
        </is>
      </c>
      <c r="BF388" t="inlineStr">
        <is>
          <t>893447368</t>
        </is>
      </c>
    </row>
    <row r="389">
      <c r="A389" t="inlineStr">
        <is>
          <t>No</t>
        </is>
      </c>
      <c r="B389" t="inlineStr">
        <is>
          <t>CUHSL</t>
        </is>
      </c>
      <c r="C389" t="inlineStr">
        <is>
          <t>SHELVES</t>
        </is>
      </c>
      <c r="D389" t="inlineStr">
        <is>
          <t>W 50 C338 1989</t>
        </is>
      </c>
      <c r="E389" t="inlineStr">
        <is>
          <t>0                      W  0050000C  338         1989</t>
        </is>
      </c>
      <c r="F389" t="inlineStr">
        <is>
          <t>Cases in bioethics : selections from the Hastings Center report / edited by Carol Levine.</t>
        </is>
      </c>
      <c r="H389" t="inlineStr">
        <is>
          <t>No</t>
        </is>
      </c>
      <c r="I389" t="inlineStr">
        <is>
          <t>1</t>
        </is>
      </c>
      <c r="J389" t="inlineStr">
        <is>
          <t>No</t>
        </is>
      </c>
      <c r="K389" t="inlineStr">
        <is>
          <t>No</t>
        </is>
      </c>
      <c r="L389" t="inlineStr">
        <is>
          <t>0</t>
        </is>
      </c>
      <c r="N389" t="inlineStr">
        <is>
          <t>New York : St. Martin's Press, c1989.</t>
        </is>
      </c>
      <c r="O389" t="inlineStr">
        <is>
          <t>1989</t>
        </is>
      </c>
      <c r="Q389" t="inlineStr">
        <is>
          <t>eng</t>
        </is>
      </c>
      <c r="R389" t="inlineStr">
        <is>
          <t>nyu</t>
        </is>
      </c>
      <c r="T389" t="inlineStr">
        <is>
          <t xml:space="preserve">W  </t>
        </is>
      </c>
      <c r="U389" t="n">
        <v>50</v>
      </c>
      <c r="V389" t="n">
        <v>50</v>
      </c>
      <c r="W389" t="inlineStr">
        <is>
          <t>2005-04-12</t>
        </is>
      </c>
      <c r="X389" t="inlineStr">
        <is>
          <t>2005-04-12</t>
        </is>
      </c>
      <c r="Y389" t="inlineStr">
        <is>
          <t>1989-09-11</t>
        </is>
      </c>
      <c r="Z389" t="inlineStr">
        <is>
          <t>1989-09-11</t>
        </is>
      </c>
      <c r="AA389" t="n">
        <v>187</v>
      </c>
      <c r="AB389" t="n">
        <v>155</v>
      </c>
      <c r="AC389" t="n">
        <v>474</v>
      </c>
      <c r="AD389" t="n">
        <v>1</v>
      </c>
      <c r="AE389" t="n">
        <v>4</v>
      </c>
      <c r="AF389" t="n">
        <v>10</v>
      </c>
      <c r="AG389" t="n">
        <v>30</v>
      </c>
      <c r="AH389" t="n">
        <v>3</v>
      </c>
      <c r="AI389" t="n">
        <v>8</v>
      </c>
      <c r="AJ389" t="n">
        <v>3</v>
      </c>
      <c r="AK389" t="n">
        <v>6</v>
      </c>
      <c r="AL389" t="n">
        <v>6</v>
      </c>
      <c r="AM389" t="n">
        <v>14</v>
      </c>
      <c r="AN389" t="n">
        <v>0</v>
      </c>
      <c r="AO389" t="n">
        <v>2</v>
      </c>
      <c r="AP389" t="n">
        <v>2</v>
      </c>
      <c r="AQ389" t="n">
        <v>7</v>
      </c>
      <c r="AR389" t="inlineStr">
        <is>
          <t>No</t>
        </is>
      </c>
      <c r="AS389" t="inlineStr">
        <is>
          <t>No</t>
        </is>
      </c>
      <c r="AU389">
        <f>HYPERLINK("https://creighton-primo.hosted.exlibrisgroup.com/primo-explore/search?tab=default_tab&amp;search_scope=EVERYTHING&amp;vid=01CRU&amp;lang=en_US&amp;offset=0&amp;query=any,contains,991000496779702656","Catalog Record")</f>
        <v/>
      </c>
      <c r="AV389">
        <f>HYPERLINK("http://www.worldcat.org/oclc/21231876","WorldCat Record")</f>
        <v/>
      </c>
      <c r="AW389" t="inlineStr">
        <is>
          <t>157461854:eng</t>
        </is>
      </c>
      <c r="AX389" t="inlineStr">
        <is>
          <t>21231876</t>
        </is>
      </c>
      <c r="AY389" t="inlineStr">
        <is>
          <t>991000496779702656</t>
        </is>
      </c>
      <c r="AZ389" t="inlineStr">
        <is>
          <t>991000496779702656</t>
        </is>
      </c>
      <c r="BA389" t="inlineStr">
        <is>
          <t>2259028670002656</t>
        </is>
      </c>
      <c r="BB389" t="inlineStr">
        <is>
          <t>BOOK</t>
        </is>
      </c>
      <c r="BD389" t="inlineStr">
        <is>
          <t>9780312012786</t>
        </is>
      </c>
      <c r="BE389" t="inlineStr">
        <is>
          <t>30001001753682</t>
        </is>
      </c>
      <c r="BF389" t="inlineStr">
        <is>
          <t>893139233</t>
        </is>
      </c>
    </row>
    <row r="390">
      <c r="A390" t="inlineStr">
        <is>
          <t>No</t>
        </is>
      </c>
      <c r="B390" t="inlineStr">
        <is>
          <t>CUHSL</t>
        </is>
      </c>
      <c r="C390" t="inlineStr">
        <is>
          <t>SHELVES</t>
        </is>
      </c>
      <c r="D390" t="inlineStr">
        <is>
          <t>W 50 C361d 1980</t>
        </is>
      </c>
      <c r="E390" t="inlineStr">
        <is>
          <t>0                      W  0050000C  361d        1980</t>
        </is>
      </c>
      <c r="F390" t="inlineStr">
        <is>
          <t>Declaration on euthanasia / Vatican Congregation for the Doctrine of the Faith.</t>
        </is>
      </c>
      <c r="H390" t="inlineStr">
        <is>
          <t>No</t>
        </is>
      </c>
      <c r="I390" t="inlineStr">
        <is>
          <t>1</t>
        </is>
      </c>
      <c r="J390" t="inlineStr">
        <is>
          <t>No</t>
        </is>
      </c>
      <c r="K390" t="inlineStr">
        <is>
          <t>No</t>
        </is>
      </c>
      <c r="L390" t="inlineStr">
        <is>
          <t>0</t>
        </is>
      </c>
      <c r="M390" t="inlineStr">
        <is>
          <t>Catholic Church. Congregatio pro Doctrina Fidei.</t>
        </is>
      </c>
      <c r="N390" t="inlineStr">
        <is>
          <t>Washington, D.C. : Publications Office, United States Catholic Conference, c1980.</t>
        </is>
      </c>
      <c r="O390" t="inlineStr">
        <is>
          <t>1980</t>
        </is>
      </c>
      <c r="Q390" t="inlineStr">
        <is>
          <t>eng</t>
        </is>
      </c>
      <c r="R390" t="inlineStr">
        <is>
          <t>dcu</t>
        </is>
      </c>
      <c r="T390" t="inlineStr">
        <is>
          <t xml:space="preserve">W  </t>
        </is>
      </c>
      <c r="U390" t="n">
        <v>5</v>
      </c>
      <c r="V390" t="n">
        <v>5</v>
      </c>
      <c r="W390" t="inlineStr">
        <is>
          <t>2004-12-06</t>
        </is>
      </c>
      <c r="X390" t="inlineStr">
        <is>
          <t>2004-12-06</t>
        </is>
      </c>
      <c r="Y390" t="inlineStr">
        <is>
          <t>1987-10-02</t>
        </is>
      </c>
      <c r="Z390" t="inlineStr">
        <is>
          <t>1987-10-02</t>
        </is>
      </c>
      <c r="AA390" t="n">
        <v>69</v>
      </c>
      <c r="AB390" t="n">
        <v>64</v>
      </c>
      <c r="AC390" t="n">
        <v>89</v>
      </c>
      <c r="AD390" t="n">
        <v>2</v>
      </c>
      <c r="AE390" t="n">
        <v>2</v>
      </c>
      <c r="AF390" t="n">
        <v>8</v>
      </c>
      <c r="AG390" t="n">
        <v>10</v>
      </c>
      <c r="AH390" t="n">
        <v>1</v>
      </c>
      <c r="AI390" t="n">
        <v>2</v>
      </c>
      <c r="AJ390" t="n">
        <v>4</v>
      </c>
      <c r="AK390" t="n">
        <v>4</v>
      </c>
      <c r="AL390" t="n">
        <v>6</v>
      </c>
      <c r="AM390" t="n">
        <v>8</v>
      </c>
      <c r="AN390" t="n">
        <v>0</v>
      </c>
      <c r="AO390" t="n">
        <v>0</v>
      </c>
      <c r="AP390" t="n">
        <v>0</v>
      </c>
      <c r="AQ390" t="n">
        <v>0</v>
      </c>
      <c r="AR390" t="inlineStr">
        <is>
          <t>No</t>
        </is>
      </c>
      <c r="AS390" t="inlineStr">
        <is>
          <t>No</t>
        </is>
      </c>
      <c r="AU390">
        <f>HYPERLINK("https://creighton-primo.hosted.exlibrisgroup.com/primo-explore/search?tab=default_tab&amp;search_scope=EVERYTHING&amp;vid=01CRU&amp;lang=en_US&amp;offset=0&amp;query=any,contains,991001183609702656","Catalog Record")</f>
        <v/>
      </c>
      <c r="AV390">
        <f>HYPERLINK("http://www.worldcat.org/oclc/6808603","WorldCat Record")</f>
        <v/>
      </c>
      <c r="AW390" t="inlineStr">
        <is>
          <t>3704658:eng</t>
        </is>
      </c>
      <c r="AX390" t="inlineStr">
        <is>
          <t>6808603</t>
        </is>
      </c>
      <c r="AY390" t="inlineStr">
        <is>
          <t>991001183609702656</t>
        </is>
      </c>
      <c r="AZ390" t="inlineStr">
        <is>
          <t>991001183609702656</t>
        </is>
      </c>
      <c r="BA390" t="inlineStr">
        <is>
          <t>2260750150002656</t>
        </is>
      </c>
      <c r="BB390" t="inlineStr">
        <is>
          <t>BOOK</t>
        </is>
      </c>
      <c r="BE390" t="inlineStr">
        <is>
          <t>30001000309494</t>
        </is>
      </c>
      <c r="BF390" t="inlineStr">
        <is>
          <t>893632791</t>
        </is>
      </c>
    </row>
    <row r="391">
      <c r="A391" t="inlineStr">
        <is>
          <t>No</t>
        </is>
      </c>
      <c r="B391" t="inlineStr">
        <is>
          <t>CUHSL</t>
        </is>
      </c>
      <c r="C391" t="inlineStr">
        <is>
          <t>SHELVES</t>
        </is>
      </c>
      <c r="D391" t="inlineStr">
        <is>
          <t>W50 C365 2001</t>
        </is>
      </c>
      <c r="E391" t="inlineStr">
        <is>
          <t>0                      W  0050000C  365         2001</t>
        </is>
      </c>
      <c r="F391" t="inlineStr">
        <is>
          <t>Catholic health care ethics : a manual for ethics committees / Peter J. Cataldo and Albert S. Moraczewski, editors ; with a foreword by Edmund D. Pellegrino.</t>
        </is>
      </c>
      <c r="H391" t="inlineStr">
        <is>
          <t>No</t>
        </is>
      </c>
      <c r="I391" t="inlineStr">
        <is>
          <t>1</t>
        </is>
      </c>
      <c r="J391" t="inlineStr">
        <is>
          <t>No</t>
        </is>
      </c>
      <c r="K391" t="inlineStr">
        <is>
          <t>No</t>
        </is>
      </c>
      <c r="L391" t="inlineStr">
        <is>
          <t>0</t>
        </is>
      </c>
      <c r="N391" t="inlineStr">
        <is>
          <t>Boston, Mass. : National Catholic Bioethics Center, c2001.</t>
        </is>
      </c>
      <c r="O391" t="inlineStr">
        <is>
          <t>2001</t>
        </is>
      </c>
      <c r="Q391" t="inlineStr">
        <is>
          <t>eng</t>
        </is>
      </c>
      <c r="R391" t="inlineStr">
        <is>
          <t>mau</t>
        </is>
      </c>
      <c r="T391" t="inlineStr">
        <is>
          <t xml:space="preserve">W  </t>
        </is>
      </c>
      <c r="U391" t="n">
        <v>8</v>
      </c>
      <c r="V391" t="n">
        <v>8</v>
      </c>
      <c r="W391" t="inlineStr">
        <is>
          <t>2009-11-06</t>
        </is>
      </c>
      <c r="X391" t="inlineStr">
        <is>
          <t>2009-11-06</t>
        </is>
      </c>
      <c r="Y391" t="inlineStr">
        <is>
          <t>2002-06-28</t>
        </is>
      </c>
      <c r="Z391" t="inlineStr">
        <is>
          <t>2002-06-28</t>
        </is>
      </c>
      <c r="AA391" t="n">
        <v>77</v>
      </c>
      <c r="AB391" t="n">
        <v>62</v>
      </c>
      <c r="AC391" t="n">
        <v>62</v>
      </c>
      <c r="AD391" t="n">
        <v>2</v>
      </c>
      <c r="AE391" t="n">
        <v>2</v>
      </c>
      <c r="AF391" t="n">
        <v>7</v>
      </c>
      <c r="AG391" t="n">
        <v>7</v>
      </c>
      <c r="AH391" t="n">
        <v>1</v>
      </c>
      <c r="AI391" t="n">
        <v>1</v>
      </c>
      <c r="AJ391" t="n">
        <v>3</v>
      </c>
      <c r="AK391" t="n">
        <v>3</v>
      </c>
      <c r="AL391" t="n">
        <v>5</v>
      </c>
      <c r="AM391" t="n">
        <v>5</v>
      </c>
      <c r="AN391" t="n">
        <v>0</v>
      </c>
      <c r="AO391" t="n">
        <v>0</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HYPERLINK("https://creighton-primo.hosted.exlibrisgroup.com/primo-explore/search?tab=default_tab&amp;search_scope=EVERYTHING&amp;vid=01CRU&amp;lang=en_US&amp;offset=0&amp;query=any,contains,991000305839702656","Catalog Record")</f>
        <v/>
      </c>
      <c r="AV391">
        <f>HYPERLINK("http://www.worldcat.org/oclc/47521378","WorldCat Record")</f>
        <v/>
      </c>
      <c r="AW391" t="inlineStr">
        <is>
          <t>36314512:eng</t>
        </is>
      </c>
      <c r="AX391" t="inlineStr">
        <is>
          <t>47521378</t>
        </is>
      </c>
      <c r="AY391" t="inlineStr">
        <is>
          <t>991000305839702656</t>
        </is>
      </c>
      <c r="AZ391" t="inlineStr">
        <is>
          <t>991000305839702656</t>
        </is>
      </c>
      <c r="BA391" t="inlineStr">
        <is>
          <t>2264228070002656</t>
        </is>
      </c>
      <c r="BB391" t="inlineStr">
        <is>
          <t>BOOK</t>
        </is>
      </c>
      <c r="BD391" t="inlineStr">
        <is>
          <t>9780935372441</t>
        </is>
      </c>
      <c r="BE391" t="inlineStr">
        <is>
          <t>30001004236784</t>
        </is>
      </c>
      <c r="BF391" t="inlineStr">
        <is>
          <t>893553380</t>
        </is>
      </c>
    </row>
    <row r="392">
      <c r="A392" t="inlineStr">
        <is>
          <t>No</t>
        </is>
      </c>
      <c r="B392" t="inlineStr">
        <is>
          <t>CUHSL</t>
        </is>
      </c>
      <c r="C392" t="inlineStr">
        <is>
          <t>SHELVES</t>
        </is>
      </c>
      <c r="D392" t="inlineStr">
        <is>
          <t>W 50 C397 1996</t>
        </is>
      </c>
      <c r="E392" t="inlineStr">
        <is>
          <t>0                      W  0050000C  397         1996</t>
        </is>
      </c>
      <c r="F392" t="inlineStr">
        <is>
          <t>The Center for Bioethics and Human Dignity presents Dignity and dying : a Christian appraisal / edited by John F. Kilner, Arlene B. Miller, and Edmund D. Pellegrino.</t>
        </is>
      </c>
      <c r="H392" t="inlineStr">
        <is>
          <t>No</t>
        </is>
      </c>
      <c r="I392" t="inlineStr">
        <is>
          <t>1</t>
        </is>
      </c>
      <c r="J392" t="inlineStr">
        <is>
          <t>No</t>
        </is>
      </c>
      <c r="K392" t="inlineStr">
        <is>
          <t>No</t>
        </is>
      </c>
      <c r="L392" t="inlineStr">
        <is>
          <t>0</t>
        </is>
      </c>
      <c r="N392" t="inlineStr">
        <is>
          <t>[Carlisle, U.K.] : Paternoster Press ; Grand Rapids, Mich. : W.B. Eerdmans Pub. Co., c1996.</t>
        </is>
      </c>
      <c r="O392" t="inlineStr">
        <is>
          <t>1996</t>
        </is>
      </c>
      <c r="Q392" t="inlineStr">
        <is>
          <t>eng</t>
        </is>
      </c>
      <c r="R392" t="inlineStr">
        <is>
          <t>enk</t>
        </is>
      </c>
      <c r="S392" t="inlineStr">
        <is>
          <t>Horizons in bioethics series</t>
        </is>
      </c>
      <c r="T392" t="inlineStr">
        <is>
          <t xml:space="preserve">W  </t>
        </is>
      </c>
      <c r="U392" t="n">
        <v>21</v>
      </c>
      <c r="V392" t="n">
        <v>21</v>
      </c>
      <c r="W392" t="inlineStr">
        <is>
          <t>2002-03-26</t>
        </is>
      </c>
      <c r="X392" t="inlineStr">
        <is>
          <t>2002-03-26</t>
        </is>
      </c>
      <c r="Y392" t="inlineStr">
        <is>
          <t>1996-10-10</t>
        </is>
      </c>
      <c r="Z392" t="inlineStr">
        <is>
          <t>1996-10-10</t>
        </is>
      </c>
      <c r="AA392" t="n">
        <v>445</v>
      </c>
      <c r="AB392" t="n">
        <v>394</v>
      </c>
      <c r="AC392" t="n">
        <v>400</v>
      </c>
      <c r="AD392" t="n">
        <v>3</v>
      </c>
      <c r="AE392" t="n">
        <v>3</v>
      </c>
      <c r="AF392" t="n">
        <v>33</v>
      </c>
      <c r="AG392" t="n">
        <v>33</v>
      </c>
      <c r="AH392" t="n">
        <v>13</v>
      </c>
      <c r="AI392" t="n">
        <v>13</v>
      </c>
      <c r="AJ392" t="n">
        <v>6</v>
      </c>
      <c r="AK392" t="n">
        <v>6</v>
      </c>
      <c r="AL392" t="n">
        <v>18</v>
      </c>
      <c r="AM392" t="n">
        <v>18</v>
      </c>
      <c r="AN392" t="n">
        <v>2</v>
      </c>
      <c r="AO392" t="n">
        <v>2</v>
      </c>
      <c r="AP392" t="n">
        <v>1</v>
      </c>
      <c r="AQ392" t="n">
        <v>1</v>
      </c>
      <c r="AR392" t="inlineStr">
        <is>
          <t>No</t>
        </is>
      </c>
      <c r="AS392" t="inlineStr">
        <is>
          <t>Yes</t>
        </is>
      </c>
      <c r="AT392">
        <f>HYPERLINK("http://catalog.hathitrust.org/Record/003104167","HathiTrust Record")</f>
        <v/>
      </c>
      <c r="AU392">
        <f>HYPERLINK("https://creighton-primo.hosted.exlibrisgroup.com/primo-explore/search?tab=default_tab&amp;search_scope=EVERYTHING&amp;vid=01CRU&amp;lang=en_US&amp;offset=0&amp;query=any,contains,991000848549702656","Catalog Record")</f>
        <v/>
      </c>
      <c r="AV392">
        <f>HYPERLINK("http://www.worldcat.org/oclc/34710749","WorldCat Record")</f>
        <v/>
      </c>
      <c r="AW392" t="inlineStr">
        <is>
          <t>3901605824:eng</t>
        </is>
      </c>
      <c r="AX392" t="inlineStr">
        <is>
          <t>34710749</t>
        </is>
      </c>
      <c r="AY392" t="inlineStr">
        <is>
          <t>991000848549702656</t>
        </is>
      </c>
      <c r="AZ392" t="inlineStr">
        <is>
          <t>991000848549702656</t>
        </is>
      </c>
      <c r="BA392" t="inlineStr">
        <is>
          <t>2259997230002656</t>
        </is>
      </c>
      <c r="BB392" t="inlineStr">
        <is>
          <t>BOOK</t>
        </is>
      </c>
      <c r="BE392" t="inlineStr">
        <is>
          <t>30001003472943</t>
        </is>
      </c>
      <c r="BF392" t="inlineStr">
        <is>
          <t>893651773</t>
        </is>
      </c>
    </row>
    <row r="393">
      <c r="A393" t="inlineStr">
        <is>
          <t>No</t>
        </is>
      </c>
      <c r="B393" t="inlineStr">
        <is>
          <t>CUHSL</t>
        </is>
      </c>
      <c r="C393" t="inlineStr">
        <is>
          <t>SHELVES</t>
        </is>
      </c>
      <c r="D393" t="inlineStr">
        <is>
          <t>W 50 C465p 1984</t>
        </is>
      </c>
      <c r="E393" t="inlineStr">
        <is>
          <t>0                      W  0050000C  465p        1984</t>
        </is>
      </c>
      <c r="F393" t="inlineStr">
        <is>
          <t>Physicians, law, and ethics / Carleton B. Chapman.</t>
        </is>
      </c>
      <c r="H393" t="inlineStr">
        <is>
          <t>No</t>
        </is>
      </c>
      <c r="I393" t="inlineStr">
        <is>
          <t>1</t>
        </is>
      </c>
      <c r="J393" t="inlineStr">
        <is>
          <t>No</t>
        </is>
      </c>
      <c r="K393" t="inlineStr">
        <is>
          <t>No</t>
        </is>
      </c>
      <c r="L393" t="inlineStr">
        <is>
          <t>0</t>
        </is>
      </c>
      <c r="M393" t="inlineStr">
        <is>
          <t>Chapman, Carleton B.</t>
        </is>
      </c>
      <c r="N393" t="inlineStr">
        <is>
          <t>New York : New York University Press, c1984.</t>
        </is>
      </c>
      <c r="O393" t="inlineStr">
        <is>
          <t>1984</t>
        </is>
      </c>
      <c r="Q393" t="inlineStr">
        <is>
          <t>eng</t>
        </is>
      </c>
      <c r="R393" t="inlineStr">
        <is>
          <t>xxu</t>
        </is>
      </c>
      <c r="T393" t="inlineStr">
        <is>
          <t xml:space="preserve">W  </t>
        </is>
      </c>
      <c r="U393" t="n">
        <v>2</v>
      </c>
      <c r="V393" t="n">
        <v>2</v>
      </c>
      <c r="W393" t="inlineStr">
        <is>
          <t>1991-10-09</t>
        </is>
      </c>
      <c r="X393" t="inlineStr">
        <is>
          <t>1991-10-09</t>
        </is>
      </c>
      <c r="Y393" t="inlineStr">
        <is>
          <t>1987-10-02</t>
        </is>
      </c>
      <c r="Z393" t="inlineStr">
        <is>
          <t>1987-10-02</t>
        </is>
      </c>
      <c r="AA393" t="n">
        <v>607</v>
      </c>
      <c r="AB393" t="n">
        <v>524</v>
      </c>
      <c r="AC393" t="n">
        <v>531</v>
      </c>
      <c r="AD393" t="n">
        <v>5</v>
      </c>
      <c r="AE393" t="n">
        <v>5</v>
      </c>
      <c r="AF393" t="n">
        <v>43</v>
      </c>
      <c r="AG393" t="n">
        <v>43</v>
      </c>
      <c r="AH393" t="n">
        <v>10</v>
      </c>
      <c r="AI393" t="n">
        <v>10</v>
      </c>
      <c r="AJ393" t="n">
        <v>4</v>
      </c>
      <c r="AK393" t="n">
        <v>4</v>
      </c>
      <c r="AL393" t="n">
        <v>16</v>
      </c>
      <c r="AM393" t="n">
        <v>16</v>
      </c>
      <c r="AN393" t="n">
        <v>2</v>
      </c>
      <c r="AO393" t="n">
        <v>2</v>
      </c>
      <c r="AP393" t="n">
        <v>20</v>
      </c>
      <c r="AQ393" t="n">
        <v>20</v>
      </c>
      <c r="AR393" t="inlineStr">
        <is>
          <t>No</t>
        </is>
      </c>
      <c r="AS393" t="inlineStr">
        <is>
          <t>Yes</t>
        </is>
      </c>
      <c r="AT393">
        <f>HYPERLINK("http://catalog.hathitrust.org/Record/000249598","HathiTrust Record")</f>
        <v/>
      </c>
      <c r="AU393">
        <f>HYPERLINK("https://creighton-primo.hosted.exlibrisgroup.com/primo-explore/search?tab=default_tab&amp;search_scope=EVERYTHING&amp;vid=01CRU&amp;lang=en_US&amp;offset=0&amp;query=any,contains,991001183529702656","Catalog Record")</f>
        <v/>
      </c>
      <c r="AV393">
        <f>HYPERLINK("http://www.worldcat.org/oclc/10430283","WorldCat Record")</f>
        <v/>
      </c>
      <c r="AW393" t="inlineStr">
        <is>
          <t>3334900:eng</t>
        </is>
      </c>
      <c r="AX393" t="inlineStr">
        <is>
          <t>10430283</t>
        </is>
      </c>
      <c r="AY393" t="inlineStr">
        <is>
          <t>991001183529702656</t>
        </is>
      </c>
      <c r="AZ393" t="inlineStr">
        <is>
          <t>991001183529702656</t>
        </is>
      </c>
      <c r="BA393" t="inlineStr">
        <is>
          <t>2269299470002656</t>
        </is>
      </c>
      <c r="BB393" t="inlineStr">
        <is>
          <t>BOOK</t>
        </is>
      </c>
      <c r="BD393" t="inlineStr">
        <is>
          <t>9780814713921</t>
        </is>
      </c>
      <c r="BE393" t="inlineStr">
        <is>
          <t>30001000309502</t>
        </is>
      </c>
      <c r="BF393" t="inlineStr">
        <is>
          <t>893821026</t>
        </is>
      </c>
    </row>
    <row r="394">
      <c r="A394" t="inlineStr">
        <is>
          <t>No</t>
        </is>
      </c>
      <c r="B394" t="inlineStr">
        <is>
          <t>CUHSL</t>
        </is>
      </c>
      <c r="C394" t="inlineStr">
        <is>
          <t>SHELVES</t>
        </is>
      </c>
      <c r="D394" t="inlineStr">
        <is>
          <t>W 50 C536w 1982</t>
        </is>
      </c>
      <c r="E394" t="inlineStr">
        <is>
          <t>0                      W  0050000C  536w        1982</t>
        </is>
      </c>
      <c r="F394" t="inlineStr">
        <is>
          <t>Who should decide? : paternalism in health care / James F. Childress.</t>
        </is>
      </c>
      <c r="H394" t="inlineStr">
        <is>
          <t>No</t>
        </is>
      </c>
      <c r="I394" t="inlineStr">
        <is>
          <t>1</t>
        </is>
      </c>
      <c r="J394" t="inlineStr">
        <is>
          <t>Yes</t>
        </is>
      </c>
      <c r="K394" t="inlineStr">
        <is>
          <t>No</t>
        </is>
      </c>
      <c r="L394" t="inlineStr">
        <is>
          <t>0</t>
        </is>
      </c>
      <c r="M394" t="inlineStr">
        <is>
          <t>Childress, James F.</t>
        </is>
      </c>
      <c r="N394" t="inlineStr">
        <is>
          <t>New York : Oxford University Press, c1982.</t>
        </is>
      </c>
      <c r="O394" t="inlineStr">
        <is>
          <t>1982</t>
        </is>
      </c>
      <c r="Q394" t="inlineStr">
        <is>
          <t>eng</t>
        </is>
      </c>
      <c r="R394" t="inlineStr">
        <is>
          <t>xxu</t>
        </is>
      </c>
      <c r="T394" t="inlineStr">
        <is>
          <t xml:space="preserve">W  </t>
        </is>
      </c>
      <c r="U394" t="n">
        <v>28</v>
      </c>
      <c r="V394" t="n">
        <v>28</v>
      </c>
      <c r="W394" t="inlineStr">
        <is>
          <t>2004-04-15</t>
        </is>
      </c>
      <c r="X394" t="inlineStr">
        <is>
          <t>2004-04-15</t>
        </is>
      </c>
      <c r="Y394" t="inlineStr">
        <is>
          <t>1987-10-02</t>
        </is>
      </c>
      <c r="Z394" t="inlineStr">
        <is>
          <t>1987-10-02</t>
        </is>
      </c>
      <c r="AA394" t="n">
        <v>767</v>
      </c>
      <c r="AB394" t="n">
        <v>649</v>
      </c>
      <c r="AC394" t="n">
        <v>682</v>
      </c>
      <c r="AD394" t="n">
        <v>5</v>
      </c>
      <c r="AE394" t="n">
        <v>5</v>
      </c>
      <c r="AF394" t="n">
        <v>32</v>
      </c>
      <c r="AG394" t="n">
        <v>33</v>
      </c>
      <c r="AH394" t="n">
        <v>12</v>
      </c>
      <c r="AI394" t="n">
        <v>13</v>
      </c>
      <c r="AJ394" t="n">
        <v>6</v>
      </c>
      <c r="AK394" t="n">
        <v>6</v>
      </c>
      <c r="AL394" t="n">
        <v>14</v>
      </c>
      <c r="AM394" t="n">
        <v>15</v>
      </c>
      <c r="AN394" t="n">
        <v>2</v>
      </c>
      <c r="AO394" t="n">
        <v>2</v>
      </c>
      <c r="AP394" t="n">
        <v>4</v>
      </c>
      <c r="AQ394" t="n">
        <v>4</v>
      </c>
      <c r="AR394" t="inlineStr">
        <is>
          <t>No</t>
        </is>
      </c>
      <c r="AS394" t="inlineStr">
        <is>
          <t>Yes</t>
        </is>
      </c>
      <c r="AT394">
        <f>HYPERLINK("http://catalog.hathitrust.org/Record/000192659","HathiTrust Record")</f>
        <v/>
      </c>
      <c r="AU394">
        <f>HYPERLINK("https://creighton-primo.hosted.exlibrisgroup.com/primo-explore/search?tab=default_tab&amp;search_scope=EVERYTHING&amp;vid=01CRU&amp;lang=en_US&amp;offset=0&amp;query=any,contains,991001183289702656","Catalog Record")</f>
        <v/>
      </c>
      <c r="AV394">
        <f>HYPERLINK("http://www.worldcat.org/oclc/8452099","WorldCat Record")</f>
        <v/>
      </c>
      <c r="AW394" t="inlineStr">
        <is>
          <t>836693753:eng</t>
        </is>
      </c>
      <c r="AX394" t="inlineStr">
        <is>
          <t>8452099</t>
        </is>
      </c>
      <c r="AY394" t="inlineStr">
        <is>
          <t>991001183289702656</t>
        </is>
      </c>
      <c r="AZ394" t="inlineStr">
        <is>
          <t>991001183289702656</t>
        </is>
      </c>
      <c r="BA394" t="inlineStr">
        <is>
          <t>2271501150002656</t>
        </is>
      </c>
      <c r="BB394" t="inlineStr">
        <is>
          <t>BOOK</t>
        </is>
      </c>
      <c r="BE394" t="inlineStr">
        <is>
          <t>30001000309510</t>
        </is>
      </c>
      <c r="BF394" t="inlineStr">
        <is>
          <t>893284533</t>
        </is>
      </c>
    </row>
    <row r="395">
      <c r="A395" t="inlineStr">
        <is>
          <t>No</t>
        </is>
      </c>
      <c r="B395" t="inlineStr">
        <is>
          <t>CUHSL</t>
        </is>
      </c>
      <c r="C395" t="inlineStr">
        <is>
          <t>SHELVES</t>
        </is>
      </c>
      <c r="D395" t="inlineStr">
        <is>
          <t>W 50 C545 1992</t>
        </is>
      </c>
      <c r="E395" t="inlineStr">
        <is>
          <t>0                      W  0050000C  545         1992</t>
        </is>
      </c>
      <c r="F395" t="inlineStr">
        <is>
          <t>Choices and conflict : explorations in health care ethics / Emily Friedman, editor.</t>
        </is>
      </c>
      <c r="H395" t="inlineStr">
        <is>
          <t>No</t>
        </is>
      </c>
      <c r="I395" t="inlineStr">
        <is>
          <t>1</t>
        </is>
      </c>
      <c r="J395" t="inlineStr">
        <is>
          <t>No</t>
        </is>
      </c>
      <c r="K395" t="inlineStr">
        <is>
          <t>No</t>
        </is>
      </c>
      <c r="L395" t="inlineStr">
        <is>
          <t>0</t>
        </is>
      </c>
      <c r="N395" t="inlineStr">
        <is>
          <t>Chicago, Ill. : American Hospital Pub., c1992.</t>
        </is>
      </c>
      <c r="O395" t="inlineStr">
        <is>
          <t>1992</t>
        </is>
      </c>
      <c r="Q395" t="inlineStr">
        <is>
          <t>eng</t>
        </is>
      </c>
      <c r="R395" t="inlineStr">
        <is>
          <t>ilu</t>
        </is>
      </c>
      <c r="T395" t="inlineStr">
        <is>
          <t xml:space="preserve">W  </t>
        </is>
      </c>
      <c r="U395" t="n">
        <v>29</v>
      </c>
      <c r="V395" t="n">
        <v>29</v>
      </c>
      <c r="W395" t="inlineStr">
        <is>
          <t>2000-02-20</t>
        </is>
      </c>
      <c r="X395" t="inlineStr">
        <is>
          <t>2000-02-20</t>
        </is>
      </c>
      <c r="Y395" t="inlineStr">
        <is>
          <t>1992-11-10</t>
        </is>
      </c>
      <c r="Z395" t="inlineStr">
        <is>
          <t>1992-11-10</t>
        </is>
      </c>
      <c r="AA395" t="n">
        <v>332</v>
      </c>
      <c r="AB395" t="n">
        <v>307</v>
      </c>
      <c r="AC395" t="n">
        <v>309</v>
      </c>
      <c r="AD395" t="n">
        <v>1</v>
      </c>
      <c r="AE395" t="n">
        <v>1</v>
      </c>
      <c r="AF395" t="n">
        <v>16</v>
      </c>
      <c r="AG395" t="n">
        <v>16</v>
      </c>
      <c r="AH395" t="n">
        <v>7</v>
      </c>
      <c r="AI395" t="n">
        <v>7</v>
      </c>
      <c r="AJ395" t="n">
        <v>2</v>
      </c>
      <c r="AK395" t="n">
        <v>2</v>
      </c>
      <c r="AL395" t="n">
        <v>11</v>
      </c>
      <c r="AM395" t="n">
        <v>11</v>
      </c>
      <c r="AN395" t="n">
        <v>0</v>
      </c>
      <c r="AO395" t="n">
        <v>0</v>
      </c>
      <c r="AP395" t="n">
        <v>3</v>
      </c>
      <c r="AQ395" t="n">
        <v>3</v>
      </c>
      <c r="AR395" t="inlineStr">
        <is>
          <t>No</t>
        </is>
      </c>
      <c r="AS395" t="inlineStr">
        <is>
          <t>Yes</t>
        </is>
      </c>
      <c r="AT395">
        <f>HYPERLINK("http://catalog.hathitrust.org/Record/002568733","HathiTrust Record")</f>
        <v/>
      </c>
      <c r="AU395">
        <f>HYPERLINK("https://creighton-primo.hosted.exlibrisgroup.com/primo-explore/search?tab=default_tab&amp;search_scope=EVERYTHING&amp;vid=01CRU&amp;lang=en_US&amp;offset=0&amp;query=any,contains,991001346989702656","Catalog Record")</f>
        <v/>
      </c>
      <c r="AV395">
        <f>HYPERLINK("http://www.worldcat.org/oclc/25547801","WorldCat Record")</f>
        <v/>
      </c>
      <c r="AW395" t="inlineStr">
        <is>
          <t>28420698:eng</t>
        </is>
      </c>
      <c r="AX395" t="inlineStr">
        <is>
          <t>25547801</t>
        </is>
      </c>
      <c r="AY395" t="inlineStr">
        <is>
          <t>991001346989702656</t>
        </is>
      </c>
      <c r="AZ395" t="inlineStr">
        <is>
          <t>991001346989702656</t>
        </is>
      </c>
      <c r="BA395" t="inlineStr">
        <is>
          <t>2261691820002656</t>
        </is>
      </c>
      <c r="BB395" t="inlineStr">
        <is>
          <t>BOOK</t>
        </is>
      </c>
      <c r="BD395" t="inlineStr">
        <is>
          <t>9781556480829</t>
        </is>
      </c>
      <c r="BE395" t="inlineStr">
        <is>
          <t>30001002457614</t>
        </is>
      </c>
      <c r="BF395" t="inlineStr">
        <is>
          <t>893638254</t>
        </is>
      </c>
    </row>
    <row r="396">
      <c r="A396" t="inlineStr">
        <is>
          <t>No</t>
        </is>
      </c>
      <c r="B396" t="inlineStr">
        <is>
          <t>CUHSL</t>
        </is>
      </c>
      <c r="C396" t="inlineStr">
        <is>
          <t>SHELVES</t>
        </is>
      </c>
      <c r="D396" t="inlineStr">
        <is>
          <t>W 50 C566c 1966</t>
        </is>
      </c>
      <c r="E396" t="inlineStr">
        <is>
          <t>0                      W  0050000C  566c        1966</t>
        </is>
      </c>
      <c r="F396" t="inlineStr">
        <is>
          <t>Ethics in medical progress : with special reference to transplantation / edited by G.E.W. Wolstenholme and Maeve O'Connor.</t>
        </is>
      </c>
      <c r="H396" t="inlineStr">
        <is>
          <t>No</t>
        </is>
      </c>
      <c r="I396" t="inlineStr">
        <is>
          <t>1</t>
        </is>
      </c>
      <c r="J396" t="inlineStr">
        <is>
          <t>No</t>
        </is>
      </c>
      <c r="K396" t="inlineStr">
        <is>
          <t>No</t>
        </is>
      </c>
      <c r="L396" t="inlineStr">
        <is>
          <t>0</t>
        </is>
      </c>
      <c r="M396" t="inlineStr">
        <is>
          <t>Ciba Foundation Symposium: Ethics in Medical Progress (1966 : London, England)</t>
        </is>
      </c>
      <c r="N396" t="inlineStr">
        <is>
          <t>Boston : Little, Brown, 1966.</t>
        </is>
      </c>
      <c r="O396" t="inlineStr">
        <is>
          <t>1966</t>
        </is>
      </c>
      <c r="Q396" t="inlineStr">
        <is>
          <t>eng</t>
        </is>
      </c>
      <c r="R396" t="inlineStr">
        <is>
          <t>mau</t>
        </is>
      </c>
      <c r="T396" t="inlineStr">
        <is>
          <t xml:space="preserve">W  </t>
        </is>
      </c>
      <c r="U396" t="n">
        <v>4</v>
      </c>
      <c r="V396" t="n">
        <v>4</v>
      </c>
      <c r="W396" t="inlineStr">
        <is>
          <t>1991-04-03</t>
        </is>
      </c>
      <c r="X396" t="inlineStr">
        <is>
          <t>1991-04-03</t>
        </is>
      </c>
      <c r="Y396" t="inlineStr">
        <is>
          <t>1989-06-13</t>
        </is>
      </c>
      <c r="Z396" t="inlineStr">
        <is>
          <t>1989-06-13</t>
        </is>
      </c>
      <c r="AA396" t="n">
        <v>186</v>
      </c>
      <c r="AB396" t="n">
        <v>180</v>
      </c>
      <c r="AC396" t="n">
        <v>267</v>
      </c>
      <c r="AD396" t="n">
        <v>2</v>
      </c>
      <c r="AE396" t="n">
        <v>2</v>
      </c>
      <c r="AF396" t="n">
        <v>15</v>
      </c>
      <c r="AG396" t="n">
        <v>16</v>
      </c>
      <c r="AH396" t="n">
        <v>4</v>
      </c>
      <c r="AI396" t="n">
        <v>4</v>
      </c>
      <c r="AJ396" t="n">
        <v>5</v>
      </c>
      <c r="AK396" t="n">
        <v>5</v>
      </c>
      <c r="AL396" t="n">
        <v>7</v>
      </c>
      <c r="AM396" t="n">
        <v>7</v>
      </c>
      <c r="AN396" t="n">
        <v>1</v>
      </c>
      <c r="AO396" t="n">
        <v>1</v>
      </c>
      <c r="AP396" t="n">
        <v>1</v>
      </c>
      <c r="AQ396" t="n">
        <v>2</v>
      </c>
      <c r="AR396" t="inlineStr">
        <is>
          <t>No</t>
        </is>
      </c>
      <c r="AS396" t="inlineStr">
        <is>
          <t>Yes</t>
        </is>
      </c>
      <c r="AT396">
        <f>HYPERLINK("http://catalog.hathitrust.org/Record/002068390","HathiTrust Record")</f>
        <v/>
      </c>
      <c r="AU396">
        <f>HYPERLINK("https://creighton-primo.hosted.exlibrisgroup.com/primo-explore/search?tab=default_tab&amp;search_scope=EVERYTHING&amp;vid=01CRU&amp;lang=en_US&amp;offset=0&amp;query=any,contains,991001183729702656","Catalog Record")</f>
        <v/>
      </c>
      <c r="AV396">
        <f>HYPERLINK("http://www.worldcat.org/oclc/528771","WorldCat Record")</f>
        <v/>
      </c>
      <c r="AW396" t="inlineStr">
        <is>
          <t>2067815290:eng</t>
        </is>
      </c>
      <c r="AX396" t="inlineStr">
        <is>
          <t>528771</t>
        </is>
      </c>
      <c r="AY396" t="inlineStr">
        <is>
          <t>991001183729702656</t>
        </is>
      </c>
      <c r="AZ396" t="inlineStr">
        <is>
          <t>991001183729702656</t>
        </is>
      </c>
      <c r="BA396" t="inlineStr">
        <is>
          <t>2263608500002656</t>
        </is>
      </c>
      <c r="BB396" t="inlineStr">
        <is>
          <t>BOOK</t>
        </is>
      </c>
      <c r="BE396" t="inlineStr">
        <is>
          <t>30001000309536</t>
        </is>
      </c>
      <c r="BF396" t="inlineStr">
        <is>
          <t>893161745</t>
        </is>
      </c>
    </row>
    <row r="397">
      <c r="A397" t="inlineStr">
        <is>
          <t>No</t>
        </is>
      </c>
      <c r="B397" t="inlineStr">
        <is>
          <t>CUHSL</t>
        </is>
      </c>
      <c r="C397" t="inlineStr">
        <is>
          <t>SHELVES</t>
        </is>
      </c>
      <c r="D397" t="inlineStr">
        <is>
          <t>W 50 C614 1998</t>
        </is>
      </c>
      <c r="E397" t="inlineStr">
        <is>
          <t>0                      W  0050000C  614         1998</t>
        </is>
      </c>
      <c r="F397" t="inlineStr">
        <is>
          <t>Classic works in medical ethics : core philosophical readings / edited by Gregory E. Pence.</t>
        </is>
      </c>
      <c r="H397" t="inlineStr">
        <is>
          <t>No</t>
        </is>
      </c>
      <c r="I397" t="inlineStr">
        <is>
          <t>1</t>
        </is>
      </c>
      <c r="J397" t="inlineStr">
        <is>
          <t>No</t>
        </is>
      </c>
      <c r="K397" t="inlineStr">
        <is>
          <t>No</t>
        </is>
      </c>
      <c r="L397" t="inlineStr">
        <is>
          <t>0</t>
        </is>
      </c>
      <c r="N397" t="inlineStr">
        <is>
          <t>Boston, Mass. : McGraw-Hill, c1998.</t>
        </is>
      </c>
      <c r="O397" t="inlineStr">
        <is>
          <t>1998</t>
        </is>
      </c>
      <c r="Q397" t="inlineStr">
        <is>
          <t>eng</t>
        </is>
      </c>
      <c r="R397" t="inlineStr">
        <is>
          <t>nyu</t>
        </is>
      </c>
      <c r="T397" t="inlineStr">
        <is>
          <t xml:space="preserve">W  </t>
        </is>
      </c>
      <c r="U397" t="n">
        <v>0</v>
      </c>
      <c r="V397" t="n">
        <v>0</v>
      </c>
      <c r="W397" t="inlineStr">
        <is>
          <t>2009-05-19</t>
        </is>
      </c>
      <c r="X397" t="inlineStr">
        <is>
          <t>2009-05-19</t>
        </is>
      </c>
      <c r="Y397" t="inlineStr">
        <is>
          <t>2007-01-16</t>
        </is>
      </c>
      <c r="Z397" t="inlineStr">
        <is>
          <t>2007-01-16</t>
        </is>
      </c>
      <c r="AA397" t="n">
        <v>243</v>
      </c>
      <c r="AB397" t="n">
        <v>192</v>
      </c>
      <c r="AC397" t="n">
        <v>199</v>
      </c>
      <c r="AD397" t="n">
        <v>2</v>
      </c>
      <c r="AE397" t="n">
        <v>2</v>
      </c>
      <c r="AF397" t="n">
        <v>14</v>
      </c>
      <c r="AG397" t="n">
        <v>14</v>
      </c>
      <c r="AH397" t="n">
        <v>8</v>
      </c>
      <c r="AI397" t="n">
        <v>8</v>
      </c>
      <c r="AJ397" t="n">
        <v>3</v>
      </c>
      <c r="AK397" t="n">
        <v>3</v>
      </c>
      <c r="AL397" t="n">
        <v>5</v>
      </c>
      <c r="AM397" t="n">
        <v>5</v>
      </c>
      <c r="AN397" t="n">
        <v>1</v>
      </c>
      <c r="AO397" t="n">
        <v>1</v>
      </c>
      <c r="AP397" t="n">
        <v>1</v>
      </c>
      <c r="AQ397" t="n">
        <v>1</v>
      </c>
      <c r="AR397" t="inlineStr">
        <is>
          <t>No</t>
        </is>
      </c>
      <c r="AS397" t="inlineStr">
        <is>
          <t>Yes</t>
        </is>
      </c>
      <c r="AT397">
        <f>HYPERLINK("http://catalog.hathitrust.org/Record/004205723","HathiTrust Record")</f>
        <v/>
      </c>
      <c r="AU397">
        <f>HYPERLINK("https://creighton-primo.hosted.exlibrisgroup.com/primo-explore/search?tab=default_tab&amp;search_scope=EVERYTHING&amp;vid=01CRU&amp;lang=en_US&amp;offset=0&amp;query=any,contains,991000580949702656","Catalog Record")</f>
        <v/>
      </c>
      <c r="AV397">
        <f>HYPERLINK("http://www.worldcat.org/oclc/36501211","WorldCat Record")</f>
        <v/>
      </c>
      <c r="AW397" t="inlineStr">
        <is>
          <t>890035688:eng</t>
        </is>
      </c>
      <c r="AX397" t="inlineStr">
        <is>
          <t>36501211</t>
        </is>
      </c>
      <c r="AY397" t="inlineStr">
        <is>
          <t>991000580949702656</t>
        </is>
      </c>
      <c r="AZ397" t="inlineStr">
        <is>
          <t>991000580949702656</t>
        </is>
      </c>
      <c r="BA397" t="inlineStr">
        <is>
          <t>2267860480002656</t>
        </is>
      </c>
      <c r="BB397" t="inlineStr">
        <is>
          <t>BOOK</t>
        </is>
      </c>
      <c r="BD397" t="inlineStr">
        <is>
          <t>9780070381155</t>
        </is>
      </c>
      <c r="BE397" t="inlineStr">
        <is>
          <t>30001005208741</t>
        </is>
      </c>
      <c r="BF397" t="inlineStr">
        <is>
          <t>893286573</t>
        </is>
      </c>
    </row>
    <row r="398">
      <c r="A398" t="inlineStr">
        <is>
          <t>No</t>
        </is>
      </c>
      <c r="B398" t="inlineStr">
        <is>
          <t>CUHSL</t>
        </is>
      </c>
      <c r="C398" t="inlineStr">
        <is>
          <t>SHELVES</t>
        </is>
      </c>
      <c r="D398" t="inlineStr">
        <is>
          <t>W 50 C626m 1982</t>
        </is>
      </c>
      <c r="E398" t="inlineStr">
        <is>
          <t>0                      W  0050000C  626m        1982</t>
        </is>
      </c>
      <c r="F398" t="inlineStr">
        <is>
          <t>Medical genetics casebook : a clinical introduction to medical ethics systems theory / by Colleen D. Clements.</t>
        </is>
      </c>
      <c r="H398" t="inlineStr">
        <is>
          <t>No</t>
        </is>
      </c>
      <c r="I398" t="inlineStr">
        <is>
          <t>1</t>
        </is>
      </c>
      <c r="J398" t="inlineStr">
        <is>
          <t>No</t>
        </is>
      </c>
      <c r="K398" t="inlineStr">
        <is>
          <t>No</t>
        </is>
      </c>
      <c r="L398" t="inlineStr">
        <is>
          <t>0</t>
        </is>
      </c>
      <c r="M398" t="inlineStr">
        <is>
          <t>Clements, Colleen D.</t>
        </is>
      </c>
      <c r="N398" t="inlineStr">
        <is>
          <t>Clifton, N.J. : Humana Press, c1982.</t>
        </is>
      </c>
      <c r="O398" t="inlineStr">
        <is>
          <t>1982</t>
        </is>
      </c>
      <c r="Q398" t="inlineStr">
        <is>
          <t>eng</t>
        </is>
      </c>
      <c r="R398" t="inlineStr">
        <is>
          <t>xxu</t>
        </is>
      </c>
      <c r="S398" t="inlineStr">
        <is>
          <t>Contemporary issues in biomedicine, ethics, and society</t>
        </is>
      </c>
      <c r="T398" t="inlineStr">
        <is>
          <t xml:space="preserve">W  </t>
        </is>
      </c>
      <c r="U398" t="n">
        <v>6</v>
      </c>
      <c r="V398" t="n">
        <v>6</v>
      </c>
      <c r="W398" t="inlineStr">
        <is>
          <t>1998-02-18</t>
        </is>
      </c>
      <c r="X398" t="inlineStr">
        <is>
          <t>1998-02-18</t>
        </is>
      </c>
      <c r="Y398" t="inlineStr">
        <is>
          <t>1991-12-03</t>
        </is>
      </c>
      <c r="Z398" t="inlineStr">
        <is>
          <t>1991-12-03</t>
        </is>
      </c>
      <c r="AA398" t="n">
        <v>118</v>
      </c>
      <c r="AB398" t="n">
        <v>85</v>
      </c>
      <c r="AC398" t="n">
        <v>112</v>
      </c>
      <c r="AD398" t="n">
        <v>1</v>
      </c>
      <c r="AE398" t="n">
        <v>1</v>
      </c>
      <c r="AF398" t="n">
        <v>7</v>
      </c>
      <c r="AG398" t="n">
        <v>8</v>
      </c>
      <c r="AH398" t="n">
        <v>4</v>
      </c>
      <c r="AI398" t="n">
        <v>5</v>
      </c>
      <c r="AJ398" t="n">
        <v>0</v>
      </c>
      <c r="AK398" t="n">
        <v>0</v>
      </c>
      <c r="AL398" t="n">
        <v>6</v>
      </c>
      <c r="AM398" t="n">
        <v>7</v>
      </c>
      <c r="AN398" t="n">
        <v>0</v>
      </c>
      <c r="AO398" t="n">
        <v>0</v>
      </c>
      <c r="AP398" t="n">
        <v>0</v>
      </c>
      <c r="AQ398" t="n">
        <v>0</v>
      </c>
      <c r="AR398" t="inlineStr">
        <is>
          <t>No</t>
        </is>
      </c>
      <c r="AS398" t="inlineStr">
        <is>
          <t>Yes</t>
        </is>
      </c>
      <c r="AT398">
        <f>HYPERLINK("http://catalog.hathitrust.org/Record/000772664","HathiTrust Record")</f>
        <v/>
      </c>
      <c r="AU398">
        <f>HYPERLINK("https://creighton-primo.hosted.exlibrisgroup.com/primo-explore/search?tab=default_tab&amp;search_scope=EVERYTHING&amp;vid=01CRU&amp;lang=en_US&amp;offset=0&amp;query=any,contains,991001183769702656","Catalog Record")</f>
        <v/>
      </c>
      <c r="AV398">
        <f>HYPERLINK("http://www.worldcat.org/oclc/8493204","WorldCat Record")</f>
        <v/>
      </c>
      <c r="AW398" t="inlineStr">
        <is>
          <t>552669:eng</t>
        </is>
      </c>
      <c r="AX398" t="inlineStr">
        <is>
          <t>8493204</t>
        </is>
      </c>
      <c r="AY398" t="inlineStr">
        <is>
          <t>991001183769702656</t>
        </is>
      </c>
      <c r="AZ398" t="inlineStr">
        <is>
          <t>991001183769702656</t>
        </is>
      </c>
      <c r="BA398" t="inlineStr">
        <is>
          <t>2271692700002656</t>
        </is>
      </c>
      <c r="BB398" t="inlineStr">
        <is>
          <t>BOOK</t>
        </is>
      </c>
      <c r="BD398" t="inlineStr">
        <is>
          <t>9780896030336</t>
        </is>
      </c>
      <c r="BE398" t="inlineStr">
        <is>
          <t>30001000309544</t>
        </is>
      </c>
      <c r="BF398" t="inlineStr">
        <is>
          <t>893632793</t>
        </is>
      </c>
    </row>
    <row r="399">
      <c r="A399" t="inlineStr">
        <is>
          <t>No</t>
        </is>
      </c>
      <c r="B399" t="inlineStr">
        <is>
          <t>CUHSL</t>
        </is>
      </c>
      <c r="C399" t="inlineStr">
        <is>
          <t>SHELVES</t>
        </is>
      </c>
      <c r="D399" t="inlineStr">
        <is>
          <t>W 50 C6395 1986</t>
        </is>
      </c>
      <c r="E399" t="inlineStr">
        <is>
          <t>0                      W  0050000C  6395        1986</t>
        </is>
      </c>
      <c r="F399" t="inlineStr">
        <is>
          <t>Clinical ethics : theory and practice / edited by Barry Hoffmaster, Benjamin Freedman, and Gwen Fraser.</t>
        </is>
      </c>
      <c r="H399" t="inlineStr">
        <is>
          <t>No</t>
        </is>
      </c>
      <c r="I399" t="inlineStr">
        <is>
          <t>1</t>
        </is>
      </c>
      <c r="J399" t="inlineStr">
        <is>
          <t>No</t>
        </is>
      </c>
      <c r="K399" t="inlineStr">
        <is>
          <t>No</t>
        </is>
      </c>
      <c r="L399" t="inlineStr">
        <is>
          <t>0</t>
        </is>
      </c>
      <c r="N399" t="inlineStr">
        <is>
          <t>Clifton, N.J. : Humana Press, c1989.</t>
        </is>
      </c>
      <c r="O399" t="inlineStr">
        <is>
          <t>1989</t>
        </is>
      </c>
      <c r="Q399" t="inlineStr">
        <is>
          <t>eng</t>
        </is>
      </c>
      <c r="R399" t="inlineStr">
        <is>
          <t>xxu</t>
        </is>
      </c>
      <c r="S399" t="inlineStr">
        <is>
          <t>Contemporary issues in biomedicine, ethics, and society</t>
        </is>
      </c>
      <c r="T399" t="inlineStr">
        <is>
          <t xml:space="preserve">W  </t>
        </is>
      </c>
      <c r="U399" t="n">
        <v>13</v>
      </c>
      <c r="V399" t="n">
        <v>13</v>
      </c>
      <c r="W399" t="inlineStr">
        <is>
          <t>1993-04-12</t>
        </is>
      </c>
      <c r="X399" t="inlineStr">
        <is>
          <t>1993-04-12</t>
        </is>
      </c>
      <c r="Y399" t="inlineStr">
        <is>
          <t>1990-06-15</t>
        </is>
      </c>
      <c r="Z399" t="inlineStr">
        <is>
          <t>1990-06-15</t>
        </is>
      </c>
      <c r="AA399" t="n">
        <v>192</v>
      </c>
      <c r="AB399" t="n">
        <v>134</v>
      </c>
      <c r="AC399" t="n">
        <v>165</v>
      </c>
      <c r="AD399" t="n">
        <v>1</v>
      </c>
      <c r="AE399" t="n">
        <v>1</v>
      </c>
      <c r="AF399" t="n">
        <v>11</v>
      </c>
      <c r="AG399" t="n">
        <v>13</v>
      </c>
      <c r="AH399" t="n">
        <v>3</v>
      </c>
      <c r="AI399" t="n">
        <v>4</v>
      </c>
      <c r="AJ399" t="n">
        <v>0</v>
      </c>
      <c r="AK399" t="n">
        <v>0</v>
      </c>
      <c r="AL399" t="n">
        <v>6</v>
      </c>
      <c r="AM399" t="n">
        <v>7</v>
      </c>
      <c r="AN399" t="n">
        <v>0</v>
      </c>
      <c r="AO399" t="n">
        <v>0</v>
      </c>
      <c r="AP399" t="n">
        <v>4</v>
      </c>
      <c r="AQ399" t="n">
        <v>5</v>
      </c>
      <c r="AR399" t="inlineStr">
        <is>
          <t>No</t>
        </is>
      </c>
      <c r="AS399" t="inlineStr">
        <is>
          <t>Yes</t>
        </is>
      </c>
      <c r="AT399">
        <f>HYPERLINK("http://catalog.hathitrust.org/Record/002055713","HathiTrust Record")</f>
        <v/>
      </c>
      <c r="AU399">
        <f>HYPERLINK("https://creighton-primo.hosted.exlibrisgroup.com/primo-explore/search?tab=default_tab&amp;search_scope=EVERYTHING&amp;vid=01CRU&amp;lang=en_US&amp;offset=0&amp;query=any,contains,991001355939702656","Catalog Record")</f>
        <v/>
      </c>
      <c r="AV399">
        <f>HYPERLINK("http://www.worldcat.org/oclc/18417366","WorldCat Record")</f>
        <v/>
      </c>
      <c r="AW399" t="inlineStr">
        <is>
          <t>890073732:eng</t>
        </is>
      </c>
      <c r="AX399" t="inlineStr">
        <is>
          <t>18417366</t>
        </is>
      </c>
      <c r="AY399" t="inlineStr">
        <is>
          <t>991001355939702656</t>
        </is>
      </c>
      <c r="AZ399" t="inlineStr">
        <is>
          <t>991001355939702656</t>
        </is>
      </c>
      <c r="BA399" t="inlineStr">
        <is>
          <t>2257483590002656</t>
        </is>
      </c>
      <c r="BB399" t="inlineStr">
        <is>
          <t>BOOK</t>
        </is>
      </c>
      <c r="BD399" t="inlineStr">
        <is>
          <t>9780896031388</t>
        </is>
      </c>
      <c r="BE399" t="inlineStr">
        <is>
          <t>30001001796004</t>
        </is>
      </c>
      <c r="BF399" t="inlineStr">
        <is>
          <t>893557898</t>
        </is>
      </c>
    </row>
    <row r="400">
      <c r="A400" t="inlineStr">
        <is>
          <t>No</t>
        </is>
      </c>
      <c r="B400" t="inlineStr">
        <is>
          <t>CUHSL</t>
        </is>
      </c>
      <c r="C400" t="inlineStr">
        <is>
          <t>SHELVES</t>
        </is>
      </c>
      <c r="D400" t="inlineStr">
        <is>
          <t>W  50 C669 2001</t>
        </is>
      </c>
      <c r="E400" t="inlineStr">
        <is>
          <t>0                      W  0050000C  669         2001</t>
        </is>
      </c>
      <c r="F400" t="inlineStr">
        <is>
          <t>Code of ethics for nurses with interpretive statements.</t>
        </is>
      </c>
      <c r="H400" t="inlineStr">
        <is>
          <t>No</t>
        </is>
      </c>
      <c r="I400" t="inlineStr">
        <is>
          <t>1</t>
        </is>
      </c>
      <c r="J400" t="inlineStr">
        <is>
          <t>No</t>
        </is>
      </c>
      <c r="K400" t="inlineStr">
        <is>
          <t>Yes</t>
        </is>
      </c>
      <c r="L400" t="inlineStr">
        <is>
          <t>1</t>
        </is>
      </c>
      <c r="N400" t="inlineStr">
        <is>
          <t>Washington, D.C. : American Nurses Association, 2001.</t>
        </is>
      </c>
      <c r="O400" t="inlineStr">
        <is>
          <t>2001</t>
        </is>
      </c>
      <c r="Q400" t="inlineStr">
        <is>
          <t>eng</t>
        </is>
      </c>
      <c r="R400" t="inlineStr">
        <is>
          <t>dcu</t>
        </is>
      </c>
      <c r="S400" t="inlineStr">
        <is>
          <t>ANA pub ; no. CEN21</t>
        </is>
      </c>
      <c r="T400" t="inlineStr">
        <is>
          <t xml:space="preserve">W  </t>
        </is>
      </c>
      <c r="U400" t="n">
        <v>3</v>
      </c>
      <c r="V400" t="n">
        <v>3</v>
      </c>
      <c r="W400" t="inlineStr">
        <is>
          <t>2005-07-11</t>
        </is>
      </c>
      <c r="X400" t="inlineStr">
        <is>
          <t>2005-07-11</t>
        </is>
      </c>
      <c r="Y400" t="inlineStr">
        <is>
          <t>2002-01-22</t>
        </is>
      </c>
      <c r="Z400" t="inlineStr">
        <is>
          <t>2002-01-22</t>
        </is>
      </c>
      <c r="AA400" t="n">
        <v>447</v>
      </c>
      <c r="AB400" t="n">
        <v>430</v>
      </c>
      <c r="AC400" t="n">
        <v>784</v>
      </c>
      <c r="AD400" t="n">
        <v>6</v>
      </c>
      <c r="AE400" t="n">
        <v>10</v>
      </c>
      <c r="AF400" t="n">
        <v>15</v>
      </c>
      <c r="AG400" t="n">
        <v>29</v>
      </c>
      <c r="AH400" t="n">
        <v>5</v>
      </c>
      <c r="AI400" t="n">
        <v>13</v>
      </c>
      <c r="AJ400" t="n">
        <v>3</v>
      </c>
      <c r="AK400" t="n">
        <v>4</v>
      </c>
      <c r="AL400" t="n">
        <v>8</v>
      </c>
      <c r="AM400" t="n">
        <v>13</v>
      </c>
      <c r="AN400" t="n">
        <v>3</v>
      </c>
      <c r="AO400" t="n">
        <v>6</v>
      </c>
      <c r="AP400" t="n">
        <v>0</v>
      </c>
      <c r="AQ400" t="n">
        <v>0</v>
      </c>
      <c r="AR400" t="inlineStr">
        <is>
          <t>No</t>
        </is>
      </c>
      <c r="AS400" t="inlineStr">
        <is>
          <t>Yes</t>
        </is>
      </c>
      <c r="AT400">
        <f>HYPERLINK("http://catalog.hathitrust.org/Record/003572810","HathiTrust Record")</f>
        <v/>
      </c>
      <c r="AU400">
        <f>HYPERLINK("https://creighton-primo.hosted.exlibrisgroup.com/primo-explore/search?tab=default_tab&amp;search_scope=EVERYTHING&amp;vid=01CRU&amp;lang=en_US&amp;offset=0&amp;query=any,contains,991001711419702656","Catalog Record")</f>
        <v/>
      </c>
      <c r="AV400">
        <f>HYPERLINK("http://www.worldcat.org/oclc/47659433","WorldCat Record")</f>
        <v/>
      </c>
      <c r="AW400" t="inlineStr">
        <is>
          <t>998767:eng</t>
        </is>
      </c>
      <c r="AX400" t="inlineStr">
        <is>
          <t>47659433</t>
        </is>
      </c>
      <c r="AY400" t="inlineStr">
        <is>
          <t>991001711419702656</t>
        </is>
      </c>
      <c r="AZ400" t="inlineStr">
        <is>
          <t>991001711419702656</t>
        </is>
      </c>
      <c r="BA400" t="inlineStr">
        <is>
          <t>22101747330002656</t>
        </is>
      </c>
      <c r="BB400" t="inlineStr">
        <is>
          <t>BOOK</t>
        </is>
      </c>
      <c r="BD400" t="inlineStr">
        <is>
          <t>9781558101760</t>
        </is>
      </c>
      <c r="BE400" t="inlineStr">
        <is>
          <t>30001004566479</t>
        </is>
      </c>
      <c r="BF400" t="inlineStr">
        <is>
          <t>893834746</t>
        </is>
      </c>
    </row>
    <row r="401">
      <c r="A401" t="inlineStr">
        <is>
          <t>No</t>
        </is>
      </c>
      <c r="B401" t="inlineStr">
        <is>
          <t>CUHSL</t>
        </is>
      </c>
      <c r="C401" t="inlineStr">
        <is>
          <t>SHELVES</t>
        </is>
      </c>
      <c r="D401" t="inlineStr">
        <is>
          <t>W 50 C714c 1977</t>
        </is>
      </c>
      <c r="E401" t="inlineStr">
        <is>
          <t>0                      W  0050000C  714c        1977</t>
        </is>
      </c>
      <c r="F401" t="inlineStr">
        <is>
          <t>Contemporary issues in biomedical ethics / edited by John W. Davis, Barry Hoffmaster, and Sarah Shorten.</t>
        </is>
      </c>
      <c r="H401" t="inlineStr">
        <is>
          <t>No</t>
        </is>
      </c>
      <c r="I401" t="inlineStr">
        <is>
          <t>1</t>
        </is>
      </c>
      <c r="J401" t="inlineStr">
        <is>
          <t>No</t>
        </is>
      </c>
      <c r="K401" t="inlineStr">
        <is>
          <t>No</t>
        </is>
      </c>
      <c r="L401" t="inlineStr">
        <is>
          <t>0</t>
        </is>
      </c>
      <c r="M401" t="inlineStr">
        <is>
          <t>Colloquium on Biomedical Ethics (1977 : University of Western Ontario)</t>
        </is>
      </c>
      <c r="N401" t="inlineStr">
        <is>
          <t>Clifton, NJ : Humana Press, c1978.</t>
        </is>
      </c>
      <c r="O401" t="inlineStr">
        <is>
          <t>1978</t>
        </is>
      </c>
      <c r="Q401" t="inlineStr">
        <is>
          <t>eng</t>
        </is>
      </c>
      <c r="R401" t="inlineStr">
        <is>
          <t>nju</t>
        </is>
      </c>
      <c r="T401" t="inlineStr">
        <is>
          <t xml:space="preserve">W  </t>
        </is>
      </c>
      <c r="U401" t="n">
        <v>6</v>
      </c>
      <c r="V401" t="n">
        <v>6</v>
      </c>
      <c r="W401" t="inlineStr">
        <is>
          <t>1997-04-27</t>
        </is>
      </c>
      <c r="X401" t="inlineStr">
        <is>
          <t>1997-04-27</t>
        </is>
      </c>
      <c r="Y401" t="inlineStr">
        <is>
          <t>1987-10-02</t>
        </is>
      </c>
      <c r="Z401" t="inlineStr">
        <is>
          <t>1987-10-02</t>
        </is>
      </c>
      <c r="AA401" t="n">
        <v>246</v>
      </c>
      <c r="AB401" t="n">
        <v>194</v>
      </c>
      <c r="AC401" t="n">
        <v>213</v>
      </c>
      <c r="AD401" t="n">
        <v>1</v>
      </c>
      <c r="AE401" t="n">
        <v>1</v>
      </c>
      <c r="AF401" t="n">
        <v>10</v>
      </c>
      <c r="AG401" t="n">
        <v>11</v>
      </c>
      <c r="AH401" t="n">
        <v>1</v>
      </c>
      <c r="AI401" t="n">
        <v>2</v>
      </c>
      <c r="AJ401" t="n">
        <v>2</v>
      </c>
      <c r="AK401" t="n">
        <v>2</v>
      </c>
      <c r="AL401" t="n">
        <v>7</v>
      </c>
      <c r="AM401" t="n">
        <v>8</v>
      </c>
      <c r="AN401" t="n">
        <v>0</v>
      </c>
      <c r="AO401" t="n">
        <v>0</v>
      </c>
      <c r="AP401" t="n">
        <v>2</v>
      </c>
      <c r="AQ401" t="n">
        <v>2</v>
      </c>
      <c r="AR401" t="inlineStr">
        <is>
          <t>No</t>
        </is>
      </c>
      <c r="AS401" t="inlineStr">
        <is>
          <t>No</t>
        </is>
      </c>
      <c r="AU401">
        <f>HYPERLINK("https://creighton-primo.hosted.exlibrisgroup.com/primo-explore/search?tab=default_tab&amp;search_scope=EVERYTHING&amp;vid=01CRU&amp;lang=en_US&amp;offset=0&amp;query=any,contains,991001183909702656","Catalog Record")</f>
        <v/>
      </c>
      <c r="AV401">
        <f>HYPERLINK("http://www.worldcat.org/oclc/5630291","WorldCat Record")</f>
        <v/>
      </c>
      <c r="AW401" t="inlineStr">
        <is>
          <t>356299738:eng</t>
        </is>
      </c>
      <c r="AX401" t="inlineStr">
        <is>
          <t>5630291</t>
        </is>
      </c>
      <c r="AY401" t="inlineStr">
        <is>
          <t>991001183909702656</t>
        </is>
      </c>
      <c r="AZ401" t="inlineStr">
        <is>
          <t>991001183909702656</t>
        </is>
      </c>
      <c r="BA401" t="inlineStr">
        <is>
          <t>2267103950002656</t>
        </is>
      </c>
      <c r="BB401" t="inlineStr">
        <is>
          <t>BOOK</t>
        </is>
      </c>
      <c r="BD401" t="inlineStr">
        <is>
          <t>9780896030022</t>
        </is>
      </c>
      <c r="BE401" t="inlineStr">
        <is>
          <t>30001000309551</t>
        </is>
      </c>
      <c r="BF401" t="inlineStr">
        <is>
          <t>893460330</t>
        </is>
      </c>
    </row>
    <row r="402">
      <c r="A402" t="inlineStr">
        <is>
          <t>No</t>
        </is>
      </c>
      <c r="B402" t="inlineStr">
        <is>
          <t>CUHSL</t>
        </is>
      </c>
      <c r="C402" t="inlineStr">
        <is>
          <t>SHELVES</t>
        </is>
      </c>
      <c r="D402" t="inlineStr">
        <is>
          <t>W 50 C733f 1977    OCMA</t>
        </is>
      </c>
      <c r="E402" t="inlineStr">
        <is>
          <t>0                      W  0050000C  733f        1977                                        OCMA</t>
        </is>
      </c>
      <c r="F402" t="inlineStr">
        <is>
          <t>From opposition to dialogue : new directions in Catholic thought toward the legalization of voluntary euthanasia / by Robert Joseph Comiskey.</t>
        </is>
      </c>
      <c r="H402" t="inlineStr">
        <is>
          <t>No</t>
        </is>
      </c>
      <c r="I402" t="inlineStr">
        <is>
          <t>1</t>
        </is>
      </c>
      <c r="J402" t="inlineStr">
        <is>
          <t>No</t>
        </is>
      </c>
      <c r="K402" t="inlineStr">
        <is>
          <t>No</t>
        </is>
      </c>
      <c r="L402" t="inlineStr">
        <is>
          <t>0</t>
        </is>
      </c>
      <c r="M402" t="inlineStr">
        <is>
          <t>Comiskey, Robert Joseph, 1940-</t>
        </is>
      </c>
      <c r="N402" t="inlineStr">
        <is>
          <t>-- Ann Arbor, Mich. : University Microfilms International, 1978</t>
        </is>
      </c>
      <c r="O402" t="inlineStr">
        <is>
          <t>1977</t>
        </is>
      </c>
      <c r="Q402" t="inlineStr">
        <is>
          <t>eng</t>
        </is>
      </c>
      <c r="R402" t="inlineStr">
        <is>
          <t xml:space="preserve">xx </t>
        </is>
      </c>
      <c r="T402" t="inlineStr">
        <is>
          <t xml:space="preserve">W  </t>
        </is>
      </c>
      <c r="U402" t="n">
        <v>4</v>
      </c>
      <c r="V402" t="n">
        <v>4</v>
      </c>
      <c r="W402" t="inlineStr">
        <is>
          <t>2000-04-02</t>
        </is>
      </c>
      <c r="X402" t="inlineStr">
        <is>
          <t>2000-04-02</t>
        </is>
      </c>
      <c r="Y402" t="inlineStr">
        <is>
          <t>1987-10-02</t>
        </is>
      </c>
      <c r="Z402" t="inlineStr">
        <is>
          <t>1987-10-02</t>
        </is>
      </c>
      <c r="AA402" t="n">
        <v>5</v>
      </c>
      <c r="AB402" t="n">
        <v>4</v>
      </c>
      <c r="AC402" t="n">
        <v>6</v>
      </c>
      <c r="AD402" t="n">
        <v>1</v>
      </c>
      <c r="AE402" t="n">
        <v>1</v>
      </c>
      <c r="AF402" t="n">
        <v>1</v>
      </c>
      <c r="AG402" t="n">
        <v>1</v>
      </c>
      <c r="AH402" t="n">
        <v>0</v>
      </c>
      <c r="AI402" t="n">
        <v>0</v>
      </c>
      <c r="AJ402" t="n">
        <v>1</v>
      </c>
      <c r="AK402" t="n">
        <v>1</v>
      </c>
      <c r="AL402" t="n">
        <v>1</v>
      </c>
      <c r="AM402" t="n">
        <v>1</v>
      </c>
      <c r="AN402" t="n">
        <v>0</v>
      </c>
      <c r="AO402" t="n">
        <v>0</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HYPERLINK("https://creighton-primo.hosted.exlibrisgroup.com/primo-explore/search?tab=default_tab&amp;search_scope=EVERYTHING&amp;vid=01CRU&amp;lang=en_US&amp;offset=0&amp;query=any,contains,991001184819702656","Catalog Record")</f>
        <v/>
      </c>
      <c r="AV402">
        <f>HYPERLINK("http://www.worldcat.org/oclc/4384069","WorldCat Record")</f>
        <v/>
      </c>
      <c r="AW402" t="inlineStr">
        <is>
          <t>14725358:eng</t>
        </is>
      </c>
      <c r="AX402" t="inlineStr">
        <is>
          <t>4384069</t>
        </is>
      </c>
      <c r="AY402" t="inlineStr">
        <is>
          <t>991001184819702656</t>
        </is>
      </c>
      <c r="AZ402" t="inlineStr">
        <is>
          <t>991001184819702656</t>
        </is>
      </c>
      <c r="BA402" t="inlineStr">
        <is>
          <t>2260942900002656</t>
        </is>
      </c>
      <c r="BB402" t="inlineStr">
        <is>
          <t>BOOK</t>
        </is>
      </c>
      <c r="BE402" t="inlineStr">
        <is>
          <t>30001000309742</t>
        </is>
      </c>
      <c r="BF402" t="inlineStr">
        <is>
          <t>893552212</t>
        </is>
      </c>
    </row>
    <row r="403">
      <c r="A403" t="inlineStr">
        <is>
          <t>No</t>
        </is>
      </c>
      <c r="B403" t="inlineStr">
        <is>
          <t>CUHSL</t>
        </is>
      </c>
      <c r="C403" t="inlineStr">
        <is>
          <t>SHELVES</t>
        </is>
      </c>
      <c r="D403" t="inlineStr">
        <is>
          <t>W 50 C761 1999</t>
        </is>
      </c>
      <c r="E403" t="inlineStr">
        <is>
          <t>0                      W  0050000C  761         1999</t>
        </is>
      </c>
      <c r="F403" t="inlineStr">
        <is>
          <t>Contemporary issues in bioethics / edited by Tom L. Beauchamp &amp; LeRoy Walters.</t>
        </is>
      </c>
      <c r="H403" t="inlineStr">
        <is>
          <t>No</t>
        </is>
      </c>
      <c r="I403" t="inlineStr">
        <is>
          <t>1</t>
        </is>
      </c>
      <c r="J403" t="inlineStr">
        <is>
          <t>No</t>
        </is>
      </c>
      <c r="K403" t="inlineStr">
        <is>
          <t>Yes</t>
        </is>
      </c>
      <c r="L403" t="inlineStr">
        <is>
          <t>0</t>
        </is>
      </c>
      <c r="N403" t="inlineStr">
        <is>
          <t>Belmont, CA : Wadsworth Pub., c1999.</t>
        </is>
      </c>
      <c r="O403" t="inlineStr">
        <is>
          <t>1999</t>
        </is>
      </c>
      <c r="P403" t="inlineStr">
        <is>
          <t>5th ed.</t>
        </is>
      </c>
      <c r="Q403" t="inlineStr">
        <is>
          <t>eng</t>
        </is>
      </c>
      <c r="R403" t="inlineStr">
        <is>
          <t>cau</t>
        </is>
      </c>
      <c r="T403" t="inlineStr">
        <is>
          <t xml:space="preserve">W  </t>
        </is>
      </c>
      <c r="U403" t="n">
        <v>15</v>
      </c>
      <c r="V403" t="n">
        <v>15</v>
      </c>
      <c r="W403" t="inlineStr">
        <is>
          <t>2005-10-18</t>
        </is>
      </c>
      <c r="X403" t="inlineStr">
        <is>
          <t>2005-10-18</t>
        </is>
      </c>
      <c r="Y403" t="inlineStr">
        <is>
          <t>1999-02-03</t>
        </is>
      </c>
      <c r="Z403" t="inlineStr">
        <is>
          <t>1999-02-03</t>
        </is>
      </c>
      <c r="AA403" t="n">
        <v>299</v>
      </c>
      <c r="AB403" t="n">
        <v>200</v>
      </c>
      <c r="AC403" t="n">
        <v>1133</v>
      </c>
      <c r="AD403" t="n">
        <v>2</v>
      </c>
      <c r="AE403" t="n">
        <v>12</v>
      </c>
      <c r="AF403" t="n">
        <v>13</v>
      </c>
      <c r="AG403" t="n">
        <v>56</v>
      </c>
      <c r="AH403" t="n">
        <v>5</v>
      </c>
      <c r="AI403" t="n">
        <v>19</v>
      </c>
      <c r="AJ403" t="n">
        <v>5</v>
      </c>
      <c r="AK403" t="n">
        <v>10</v>
      </c>
      <c r="AL403" t="n">
        <v>8</v>
      </c>
      <c r="AM403" t="n">
        <v>26</v>
      </c>
      <c r="AN403" t="n">
        <v>1</v>
      </c>
      <c r="AO403" t="n">
        <v>7</v>
      </c>
      <c r="AP403" t="n">
        <v>0</v>
      </c>
      <c r="AQ403" t="n">
        <v>6</v>
      </c>
      <c r="AR403" t="inlineStr">
        <is>
          <t>No</t>
        </is>
      </c>
      <c r="AS403" t="inlineStr">
        <is>
          <t>Yes</t>
        </is>
      </c>
      <c r="AT403">
        <f>HYPERLINK("http://catalog.hathitrust.org/Record/004017425","HathiTrust Record")</f>
        <v/>
      </c>
      <c r="AU403">
        <f>HYPERLINK("https://creighton-primo.hosted.exlibrisgroup.com/primo-explore/search?tab=default_tab&amp;search_scope=EVERYTHING&amp;vid=01CRU&amp;lang=en_US&amp;offset=0&amp;query=any,contains,991000874769702656","Catalog Record")</f>
        <v/>
      </c>
      <c r="AV403">
        <f>HYPERLINK("http://www.worldcat.org/oclc/40251617","WorldCat Record")</f>
        <v/>
      </c>
      <c r="AW403" t="inlineStr">
        <is>
          <t>364468255:eng</t>
        </is>
      </c>
      <c r="AX403" t="inlineStr">
        <is>
          <t>40251617</t>
        </is>
      </c>
      <c r="AY403" t="inlineStr">
        <is>
          <t>991000874769702656</t>
        </is>
      </c>
      <c r="AZ403" t="inlineStr">
        <is>
          <t>991000874769702656</t>
        </is>
      </c>
      <c r="BA403" t="inlineStr">
        <is>
          <t>2256851630002656</t>
        </is>
      </c>
      <c r="BB403" t="inlineStr">
        <is>
          <t>BOOK</t>
        </is>
      </c>
      <c r="BD403" t="inlineStr">
        <is>
          <t>9780534504762</t>
        </is>
      </c>
      <c r="BE403" t="inlineStr">
        <is>
          <t>30001004158848</t>
        </is>
      </c>
      <c r="BF403" t="inlineStr">
        <is>
          <t>893826126</t>
        </is>
      </c>
    </row>
    <row r="404">
      <c r="A404" t="inlineStr">
        <is>
          <t>No</t>
        </is>
      </c>
      <c r="B404" t="inlineStr">
        <is>
          <t>CUHSL</t>
        </is>
      </c>
      <c r="C404" t="inlineStr">
        <is>
          <t>SHELVES</t>
        </is>
      </c>
      <c r="D404" t="inlineStr">
        <is>
          <t>W50 C761 2003</t>
        </is>
      </c>
      <c r="E404" t="inlineStr">
        <is>
          <t>0                      W  0050000C  761         2003</t>
        </is>
      </c>
      <c r="F404" t="inlineStr">
        <is>
          <t>Contemporary issues in bioethics / edited by Tom L. Beauchamp &amp; LeRoy Walters.</t>
        </is>
      </c>
      <c r="H404" t="inlineStr">
        <is>
          <t>No</t>
        </is>
      </c>
      <c r="I404" t="inlineStr">
        <is>
          <t>1</t>
        </is>
      </c>
      <c r="J404" t="inlineStr">
        <is>
          <t>No</t>
        </is>
      </c>
      <c r="K404" t="inlineStr">
        <is>
          <t>Yes</t>
        </is>
      </c>
      <c r="L404" t="inlineStr">
        <is>
          <t>0</t>
        </is>
      </c>
      <c r="N404" t="inlineStr">
        <is>
          <t>Belmont, CA : Wadsworth--Thompson Learning, c2003.</t>
        </is>
      </c>
      <c r="O404" t="inlineStr">
        <is>
          <t>2003</t>
        </is>
      </c>
      <c r="P404" t="inlineStr">
        <is>
          <t>6th ed.</t>
        </is>
      </c>
      <c r="Q404" t="inlineStr">
        <is>
          <t>eng</t>
        </is>
      </c>
      <c r="R404" t="inlineStr">
        <is>
          <t>cau</t>
        </is>
      </c>
      <c r="T404" t="inlineStr">
        <is>
          <t xml:space="preserve">W  </t>
        </is>
      </c>
      <c r="U404" t="n">
        <v>10</v>
      </c>
      <c r="V404" t="n">
        <v>10</v>
      </c>
      <c r="W404" t="inlineStr">
        <is>
          <t>2005-09-02</t>
        </is>
      </c>
      <c r="X404" t="inlineStr">
        <is>
          <t>2005-09-02</t>
        </is>
      </c>
      <c r="Y404" t="inlineStr">
        <is>
          <t>2003-02-03</t>
        </is>
      </c>
      <c r="Z404" t="inlineStr">
        <is>
          <t>2003-02-03</t>
        </is>
      </c>
      <c r="AA404" t="n">
        <v>120</v>
      </c>
      <c r="AB404" t="n">
        <v>98</v>
      </c>
      <c r="AC404" t="n">
        <v>1133</v>
      </c>
      <c r="AD404" t="n">
        <v>1</v>
      </c>
      <c r="AE404" t="n">
        <v>12</v>
      </c>
      <c r="AF404" t="n">
        <v>11</v>
      </c>
      <c r="AG404" t="n">
        <v>56</v>
      </c>
      <c r="AH404" t="n">
        <v>1</v>
      </c>
      <c r="AI404" t="n">
        <v>19</v>
      </c>
      <c r="AJ404" t="n">
        <v>3</v>
      </c>
      <c r="AK404" t="n">
        <v>10</v>
      </c>
      <c r="AL404" t="n">
        <v>7</v>
      </c>
      <c r="AM404" t="n">
        <v>26</v>
      </c>
      <c r="AN404" t="n">
        <v>0</v>
      </c>
      <c r="AO404" t="n">
        <v>7</v>
      </c>
      <c r="AP404" t="n">
        <v>2</v>
      </c>
      <c r="AQ404" t="n">
        <v>6</v>
      </c>
      <c r="AR404" t="inlineStr">
        <is>
          <t>No</t>
        </is>
      </c>
      <c r="AS404" t="inlineStr">
        <is>
          <t>Yes</t>
        </is>
      </c>
      <c r="AT404">
        <f>HYPERLINK("http://catalog.hathitrust.org/Record/004286804","HathiTrust Record")</f>
        <v/>
      </c>
      <c r="AU404">
        <f>HYPERLINK("https://creighton-primo.hosted.exlibrisgroup.com/primo-explore/search?tab=default_tab&amp;search_scope=EVERYTHING&amp;vid=01CRU&amp;lang=en_US&amp;offset=0&amp;query=any,contains,991001719799702656","Catalog Record")</f>
        <v/>
      </c>
      <c r="AV404">
        <f>HYPERLINK("http://www.worldcat.org/oclc/50685785","WorldCat Record")</f>
        <v/>
      </c>
      <c r="AW404" t="inlineStr">
        <is>
          <t>364468255:eng</t>
        </is>
      </c>
      <c r="AX404" t="inlineStr">
        <is>
          <t>50685785</t>
        </is>
      </c>
      <c r="AY404" t="inlineStr">
        <is>
          <t>991001719799702656</t>
        </is>
      </c>
      <c r="AZ404" t="inlineStr">
        <is>
          <t>991001719799702656</t>
        </is>
      </c>
      <c r="BA404" t="inlineStr">
        <is>
          <t>2272412640002656</t>
        </is>
      </c>
      <c r="BB404" t="inlineStr">
        <is>
          <t>BOOK</t>
        </is>
      </c>
      <c r="BD404" t="inlineStr">
        <is>
          <t>9780534584429</t>
        </is>
      </c>
      <c r="BE404" t="inlineStr">
        <is>
          <t>30001004501641</t>
        </is>
      </c>
      <c r="BF404" t="inlineStr">
        <is>
          <t>893121789</t>
        </is>
      </c>
    </row>
    <row r="405">
      <c r="A405" t="inlineStr">
        <is>
          <t>No</t>
        </is>
      </c>
      <c r="B405" t="inlineStr">
        <is>
          <t>CUHSL</t>
        </is>
      </c>
      <c r="C405" t="inlineStr">
        <is>
          <t>SHELVES</t>
        </is>
      </c>
      <c r="D405" t="inlineStr">
        <is>
          <t>W 50 C785 1985</t>
        </is>
      </c>
      <c r="E405" t="inlineStr">
        <is>
          <t>0                      W  0050000C  785         1985</t>
        </is>
      </c>
      <c r="F405" t="inlineStr">
        <is>
          <t>Bioethics : a casebook / Mark Coppenger.</t>
        </is>
      </c>
      <c r="H405" t="inlineStr">
        <is>
          <t>No</t>
        </is>
      </c>
      <c r="I405" t="inlineStr">
        <is>
          <t>1</t>
        </is>
      </c>
      <c r="J405" t="inlineStr">
        <is>
          <t>No</t>
        </is>
      </c>
      <c r="K405" t="inlineStr">
        <is>
          <t>No</t>
        </is>
      </c>
      <c r="L405" t="inlineStr">
        <is>
          <t>0</t>
        </is>
      </c>
      <c r="M405" t="inlineStr">
        <is>
          <t>Coppenger, Mark T.</t>
        </is>
      </c>
      <c r="N405" t="inlineStr">
        <is>
          <t>Englewood Cliffs, N.J. : Prentice-Hall, c1985.</t>
        </is>
      </c>
      <c r="O405" t="inlineStr">
        <is>
          <t>1985</t>
        </is>
      </c>
      <c r="Q405" t="inlineStr">
        <is>
          <t>eng</t>
        </is>
      </c>
      <c r="R405" t="inlineStr">
        <is>
          <t>nju</t>
        </is>
      </c>
      <c r="T405" t="inlineStr">
        <is>
          <t xml:space="preserve">W  </t>
        </is>
      </c>
      <c r="U405" t="n">
        <v>21</v>
      </c>
      <c r="V405" t="n">
        <v>21</v>
      </c>
      <c r="W405" t="inlineStr">
        <is>
          <t>2003-04-24</t>
        </is>
      </c>
      <c r="X405" t="inlineStr">
        <is>
          <t>2003-04-24</t>
        </is>
      </c>
      <c r="Y405" t="inlineStr">
        <is>
          <t>1987-08-20</t>
        </is>
      </c>
      <c r="Z405" t="inlineStr">
        <is>
          <t>1987-08-20</t>
        </is>
      </c>
      <c r="AA405" t="n">
        <v>238</v>
      </c>
      <c r="AB405" t="n">
        <v>196</v>
      </c>
      <c r="AC405" t="n">
        <v>202</v>
      </c>
      <c r="AD405" t="n">
        <v>3</v>
      </c>
      <c r="AE405" t="n">
        <v>3</v>
      </c>
      <c r="AF405" t="n">
        <v>9</v>
      </c>
      <c r="AG405" t="n">
        <v>9</v>
      </c>
      <c r="AH405" t="n">
        <v>3</v>
      </c>
      <c r="AI405" t="n">
        <v>3</v>
      </c>
      <c r="AJ405" t="n">
        <v>0</v>
      </c>
      <c r="AK405" t="n">
        <v>0</v>
      </c>
      <c r="AL405" t="n">
        <v>4</v>
      </c>
      <c r="AM405" t="n">
        <v>4</v>
      </c>
      <c r="AN405" t="n">
        <v>2</v>
      </c>
      <c r="AO405" t="n">
        <v>2</v>
      </c>
      <c r="AP405" t="n">
        <v>1</v>
      </c>
      <c r="AQ405" t="n">
        <v>1</v>
      </c>
      <c r="AR405" t="inlineStr">
        <is>
          <t>No</t>
        </is>
      </c>
      <c r="AS405" t="inlineStr">
        <is>
          <t>Yes</t>
        </is>
      </c>
      <c r="AT405">
        <f>HYPERLINK("http://catalog.hathitrust.org/Record/008306601","HathiTrust Record")</f>
        <v/>
      </c>
      <c r="AU405">
        <f>HYPERLINK("https://creighton-primo.hosted.exlibrisgroup.com/primo-explore/search?tab=default_tab&amp;search_scope=EVERYTHING&amp;vid=01CRU&amp;lang=en_US&amp;offset=0&amp;query=any,contains,991001184179702656","Catalog Record")</f>
        <v/>
      </c>
      <c r="AV405">
        <f>HYPERLINK("http://www.worldcat.org/oclc/11067433","WorldCat Record")</f>
        <v/>
      </c>
      <c r="AW405" t="inlineStr">
        <is>
          <t>889681298:eng</t>
        </is>
      </c>
      <c r="AX405" t="inlineStr">
        <is>
          <t>11067433</t>
        </is>
      </c>
      <c r="AY405" t="inlineStr">
        <is>
          <t>991001184179702656</t>
        </is>
      </c>
      <c r="AZ405" t="inlineStr">
        <is>
          <t>991001184179702656</t>
        </is>
      </c>
      <c r="BA405" t="inlineStr">
        <is>
          <t>2261091190002656</t>
        </is>
      </c>
      <c r="BB405" t="inlineStr">
        <is>
          <t>BOOK</t>
        </is>
      </c>
      <c r="BD405" t="inlineStr">
        <is>
          <t>9780130782397</t>
        </is>
      </c>
      <c r="BE405" t="inlineStr">
        <is>
          <t>30001000309627</t>
        </is>
      </c>
      <c r="BF405" t="inlineStr">
        <is>
          <t>893161746</t>
        </is>
      </c>
    </row>
    <row r="406">
      <c r="A406" t="inlineStr">
        <is>
          <t>No</t>
        </is>
      </c>
      <c r="B406" t="inlineStr">
        <is>
          <t>CUHSL</t>
        </is>
      </c>
      <c r="C406" t="inlineStr">
        <is>
          <t>SHELVES</t>
        </is>
      </c>
      <c r="D406" t="inlineStr">
        <is>
          <t>W 50 C886e 1986</t>
        </is>
      </c>
      <c r="E406" t="inlineStr">
        <is>
          <t>0                      W  0050000C  886e        1986</t>
        </is>
      </c>
      <c r="F406" t="inlineStr">
        <is>
          <t>Ethics committees : a practical approach / Robert Paul Craig, Carl L. Middleton, Laurence O'Connell.</t>
        </is>
      </c>
      <c r="H406" t="inlineStr">
        <is>
          <t>No</t>
        </is>
      </c>
      <c r="I406" t="inlineStr">
        <is>
          <t>1</t>
        </is>
      </c>
      <c r="J406" t="inlineStr">
        <is>
          <t>No</t>
        </is>
      </c>
      <c r="K406" t="inlineStr">
        <is>
          <t>No</t>
        </is>
      </c>
      <c r="L406" t="inlineStr">
        <is>
          <t>0</t>
        </is>
      </c>
      <c r="M406" t="inlineStr">
        <is>
          <t>Craig, Robert P.</t>
        </is>
      </c>
      <c r="N406" t="inlineStr">
        <is>
          <t>St. Louis, MO : Catholic Health Association of the United States, c1986.</t>
        </is>
      </c>
      <c r="O406" t="inlineStr">
        <is>
          <t>1986</t>
        </is>
      </c>
      <c r="Q406" t="inlineStr">
        <is>
          <t>eng</t>
        </is>
      </c>
      <c r="R406" t="inlineStr">
        <is>
          <t>xxu</t>
        </is>
      </c>
      <c r="T406" t="inlineStr">
        <is>
          <t xml:space="preserve">W  </t>
        </is>
      </c>
      <c r="U406" t="n">
        <v>6</v>
      </c>
      <c r="V406" t="n">
        <v>6</v>
      </c>
      <c r="W406" t="inlineStr">
        <is>
          <t>1997-11-23</t>
        </is>
      </c>
      <c r="X406" t="inlineStr">
        <is>
          <t>1997-11-23</t>
        </is>
      </c>
      <c r="Y406" t="inlineStr">
        <is>
          <t>1987-10-02</t>
        </is>
      </c>
      <c r="Z406" t="inlineStr">
        <is>
          <t>1987-10-02</t>
        </is>
      </c>
      <c r="AA406" t="n">
        <v>152</v>
      </c>
      <c r="AB406" t="n">
        <v>133</v>
      </c>
      <c r="AC406" t="n">
        <v>135</v>
      </c>
      <c r="AD406" t="n">
        <v>1</v>
      </c>
      <c r="AE406" t="n">
        <v>1</v>
      </c>
      <c r="AF406" t="n">
        <v>9</v>
      </c>
      <c r="AG406" t="n">
        <v>9</v>
      </c>
      <c r="AH406" t="n">
        <v>5</v>
      </c>
      <c r="AI406" t="n">
        <v>5</v>
      </c>
      <c r="AJ406" t="n">
        <v>0</v>
      </c>
      <c r="AK406" t="n">
        <v>0</v>
      </c>
      <c r="AL406" t="n">
        <v>5</v>
      </c>
      <c r="AM406" t="n">
        <v>5</v>
      </c>
      <c r="AN406" t="n">
        <v>0</v>
      </c>
      <c r="AO406" t="n">
        <v>0</v>
      </c>
      <c r="AP406" t="n">
        <v>1</v>
      </c>
      <c r="AQ406" t="n">
        <v>1</v>
      </c>
      <c r="AR406" t="inlineStr">
        <is>
          <t>No</t>
        </is>
      </c>
      <c r="AS406" t="inlineStr">
        <is>
          <t>Yes</t>
        </is>
      </c>
      <c r="AT406">
        <f>HYPERLINK("http://catalog.hathitrust.org/Record/000825462","HathiTrust Record")</f>
        <v/>
      </c>
      <c r="AU406">
        <f>HYPERLINK("https://creighton-primo.hosted.exlibrisgroup.com/primo-explore/search?tab=default_tab&amp;search_scope=EVERYTHING&amp;vid=01CRU&amp;lang=en_US&amp;offset=0&amp;query=any,contains,991001184329702656","Catalog Record")</f>
        <v/>
      </c>
      <c r="AV406">
        <f>HYPERLINK("http://www.worldcat.org/oclc/12836124","WorldCat Record")</f>
        <v/>
      </c>
      <c r="AW406" t="inlineStr">
        <is>
          <t>198932824:eng</t>
        </is>
      </c>
      <c r="AX406" t="inlineStr">
        <is>
          <t>12836124</t>
        </is>
      </c>
      <c r="AY406" t="inlineStr">
        <is>
          <t>991001184329702656</t>
        </is>
      </c>
      <c r="AZ406" t="inlineStr">
        <is>
          <t>991001184329702656</t>
        </is>
      </c>
      <c r="BA406" t="inlineStr">
        <is>
          <t>2266468390002656</t>
        </is>
      </c>
      <c r="BB406" t="inlineStr">
        <is>
          <t>BOOK</t>
        </is>
      </c>
      <c r="BD406" t="inlineStr">
        <is>
          <t>9780871251107</t>
        </is>
      </c>
      <c r="BE406" t="inlineStr">
        <is>
          <t>30001000309635</t>
        </is>
      </c>
      <c r="BF406" t="inlineStr">
        <is>
          <t>893541096</t>
        </is>
      </c>
    </row>
    <row r="407">
      <c r="A407" t="inlineStr">
        <is>
          <t>No</t>
        </is>
      </c>
      <c r="B407" t="inlineStr">
        <is>
          <t>CUHSL</t>
        </is>
      </c>
      <c r="C407" t="inlineStr">
        <is>
          <t>SHELVES</t>
        </is>
      </c>
      <c r="D407" t="inlineStr">
        <is>
          <t>W 50 C891s 1975</t>
        </is>
      </c>
      <c r="E407" t="inlineStr">
        <is>
          <t>0                      W  0050000C  891s        1975</t>
        </is>
      </c>
      <c r="F407" t="inlineStr">
        <is>
          <t>The sanctity of social life : physicians' treatment of critically ill patients / Diana Crane.</t>
        </is>
      </c>
      <c r="H407" t="inlineStr">
        <is>
          <t>No</t>
        </is>
      </c>
      <c r="I407" t="inlineStr">
        <is>
          <t>1</t>
        </is>
      </c>
      <c r="J407" t="inlineStr">
        <is>
          <t>No</t>
        </is>
      </c>
      <c r="K407" t="inlineStr">
        <is>
          <t>No</t>
        </is>
      </c>
      <c r="L407" t="inlineStr">
        <is>
          <t>0</t>
        </is>
      </c>
      <c r="M407" t="inlineStr">
        <is>
          <t>Crane, Diana, 1933-</t>
        </is>
      </c>
      <c r="N407" t="inlineStr">
        <is>
          <t>New Brunswick, N.J. : Transaction Books, [1977] c1975.</t>
        </is>
      </c>
      <c r="O407" t="inlineStr">
        <is>
          <t>1977</t>
        </is>
      </c>
      <c r="P407" t="inlineStr">
        <is>
          <t>1st paperback ed. with new pref.</t>
        </is>
      </c>
      <c r="Q407" t="inlineStr">
        <is>
          <t>eng</t>
        </is>
      </c>
      <c r="R407" t="inlineStr">
        <is>
          <t>nju</t>
        </is>
      </c>
      <c r="T407" t="inlineStr">
        <is>
          <t xml:space="preserve">W  </t>
        </is>
      </c>
      <c r="U407" t="n">
        <v>2</v>
      </c>
      <c r="V407" t="n">
        <v>2</v>
      </c>
      <c r="W407" t="inlineStr">
        <is>
          <t>1989-03-23</t>
        </is>
      </c>
      <c r="X407" t="inlineStr">
        <is>
          <t>1989-03-23</t>
        </is>
      </c>
      <c r="Y407" t="inlineStr">
        <is>
          <t>1987-10-02</t>
        </is>
      </c>
      <c r="Z407" t="inlineStr">
        <is>
          <t>1987-10-02</t>
        </is>
      </c>
      <c r="AA407" t="n">
        <v>85</v>
      </c>
      <c r="AB407" t="n">
        <v>72</v>
      </c>
      <c r="AC407" t="n">
        <v>473</v>
      </c>
      <c r="AD407" t="n">
        <v>2</v>
      </c>
      <c r="AE407" t="n">
        <v>2</v>
      </c>
      <c r="AF407" t="n">
        <v>4</v>
      </c>
      <c r="AG407" t="n">
        <v>25</v>
      </c>
      <c r="AH407" t="n">
        <v>2</v>
      </c>
      <c r="AI407" t="n">
        <v>8</v>
      </c>
      <c r="AJ407" t="n">
        <v>1</v>
      </c>
      <c r="AK407" t="n">
        <v>4</v>
      </c>
      <c r="AL407" t="n">
        <v>1</v>
      </c>
      <c r="AM407" t="n">
        <v>10</v>
      </c>
      <c r="AN407" t="n">
        <v>1</v>
      </c>
      <c r="AO407" t="n">
        <v>1</v>
      </c>
      <c r="AP407" t="n">
        <v>0</v>
      </c>
      <c r="AQ407" t="n">
        <v>7</v>
      </c>
      <c r="AR407" t="inlineStr">
        <is>
          <t>No</t>
        </is>
      </c>
      <c r="AS407" t="inlineStr">
        <is>
          <t>No</t>
        </is>
      </c>
      <c r="AU407">
        <f>HYPERLINK("https://creighton-primo.hosted.exlibrisgroup.com/primo-explore/search?tab=default_tab&amp;search_scope=EVERYTHING&amp;vid=01CRU&amp;lang=en_US&amp;offset=0&amp;query=any,contains,991000170379702656","Catalog Record")</f>
        <v/>
      </c>
      <c r="AV407">
        <f>HYPERLINK("http://www.worldcat.org/oclc/3205103","WorldCat Record")</f>
        <v/>
      </c>
      <c r="AW407" t="inlineStr">
        <is>
          <t>517680:eng</t>
        </is>
      </c>
      <c r="AX407" t="inlineStr">
        <is>
          <t>3205103</t>
        </is>
      </c>
      <c r="AY407" t="inlineStr">
        <is>
          <t>991000170379702656</t>
        </is>
      </c>
      <c r="AZ407" t="inlineStr">
        <is>
          <t>991000170379702656</t>
        </is>
      </c>
      <c r="BA407" t="inlineStr">
        <is>
          <t>2269360830002656</t>
        </is>
      </c>
      <c r="BB407" t="inlineStr">
        <is>
          <t>BOOK</t>
        </is>
      </c>
      <c r="BD407" t="inlineStr">
        <is>
          <t>9780878556489</t>
        </is>
      </c>
      <c r="BE407" t="inlineStr">
        <is>
          <t>30001000309643</t>
        </is>
      </c>
      <c r="BF407" t="inlineStr">
        <is>
          <t>893553238</t>
        </is>
      </c>
    </row>
    <row r="408">
      <c r="A408" t="inlineStr">
        <is>
          <t>No</t>
        </is>
      </c>
      <c r="B408" t="inlineStr">
        <is>
          <t>CUHSL</t>
        </is>
      </c>
      <c r="C408" t="inlineStr">
        <is>
          <t>SHELVES</t>
        </is>
      </c>
      <c r="D408" t="inlineStr">
        <is>
          <t>W 50 C932 1990</t>
        </is>
      </c>
      <c r="E408" t="inlineStr">
        <is>
          <t>0                      W  0050000C  932         1990</t>
        </is>
      </c>
      <c r="F408" t="inlineStr">
        <is>
          <t>The Crisis in health care / edited by Nancy F. McKenzie.</t>
        </is>
      </c>
      <c r="H408" t="inlineStr">
        <is>
          <t>No</t>
        </is>
      </c>
      <c r="I408" t="inlineStr">
        <is>
          <t>1</t>
        </is>
      </c>
      <c r="J408" t="inlineStr">
        <is>
          <t>No</t>
        </is>
      </c>
      <c r="K408" t="inlineStr">
        <is>
          <t>No</t>
        </is>
      </c>
      <c r="L408" t="inlineStr">
        <is>
          <t>0</t>
        </is>
      </c>
      <c r="N408" t="inlineStr">
        <is>
          <t>New York, N.Y. : New American Library, c1990.</t>
        </is>
      </c>
      <c r="O408" t="inlineStr">
        <is>
          <t>1990</t>
        </is>
      </c>
      <c r="Q408" t="inlineStr">
        <is>
          <t>eng</t>
        </is>
      </c>
      <c r="R408" t="inlineStr">
        <is>
          <t>xxu</t>
        </is>
      </c>
      <c r="T408" t="inlineStr">
        <is>
          <t xml:space="preserve">W  </t>
        </is>
      </c>
      <c r="U408" t="n">
        <v>39</v>
      </c>
      <c r="V408" t="n">
        <v>39</v>
      </c>
      <c r="W408" t="inlineStr">
        <is>
          <t>2005-09-07</t>
        </is>
      </c>
      <c r="X408" t="inlineStr">
        <is>
          <t>2005-09-07</t>
        </is>
      </c>
      <c r="Y408" t="inlineStr">
        <is>
          <t>1991-01-10</t>
        </is>
      </c>
      <c r="Z408" t="inlineStr">
        <is>
          <t>1991-01-10</t>
        </is>
      </c>
      <c r="AA408" t="n">
        <v>247</v>
      </c>
      <c r="AB408" t="n">
        <v>234</v>
      </c>
      <c r="AC408" t="n">
        <v>245</v>
      </c>
      <c r="AD408" t="n">
        <v>2</v>
      </c>
      <c r="AE408" t="n">
        <v>2</v>
      </c>
      <c r="AF408" t="n">
        <v>10</v>
      </c>
      <c r="AG408" t="n">
        <v>10</v>
      </c>
      <c r="AH408" t="n">
        <v>3</v>
      </c>
      <c r="AI408" t="n">
        <v>3</v>
      </c>
      <c r="AJ408" t="n">
        <v>2</v>
      </c>
      <c r="AK408" t="n">
        <v>2</v>
      </c>
      <c r="AL408" t="n">
        <v>5</v>
      </c>
      <c r="AM408" t="n">
        <v>5</v>
      </c>
      <c r="AN408" t="n">
        <v>1</v>
      </c>
      <c r="AO408" t="n">
        <v>1</v>
      </c>
      <c r="AP408" t="n">
        <v>1</v>
      </c>
      <c r="AQ408" t="n">
        <v>1</v>
      </c>
      <c r="AR408" t="inlineStr">
        <is>
          <t>No</t>
        </is>
      </c>
      <c r="AS408" t="inlineStr">
        <is>
          <t>No</t>
        </is>
      </c>
      <c r="AU408">
        <f>HYPERLINK("https://creighton-primo.hosted.exlibrisgroup.com/primo-explore/search?tab=default_tab&amp;search_scope=EVERYTHING&amp;vid=01CRU&amp;lang=en_US&amp;offset=0&amp;query=any,contains,991000768829702656","Catalog Record")</f>
        <v/>
      </c>
      <c r="AV408">
        <f>HYPERLINK("http://www.worldcat.org/oclc/20797435","WorldCat Record")</f>
        <v/>
      </c>
      <c r="AW408" t="inlineStr">
        <is>
          <t>140823260:eng</t>
        </is>
      </c>
      <c r="AX408" t="inlineStr">
        <is>
          <t>20797435</t>
        </is>
      </c>
      <c r="AY408" t="inlineStr">
        <is>
          <t>991000768829702656</t>
        </is>
      </c>
      <c r="AZ408" t="inlineStr">
        <is>
          <t>991000768829702656</t>
        </is>
      </c>
      <c r="BA408" t="inlineStr">
        <is>
          <t>2266168420002656</t>
        </is>
      </c>
      <c r="BB408" t="inlineStr">
        <is>
          <t>BOOK</t>
        </is>
      </c>
      <c r="BD408" t="inlineStr">
        <is>
          <t>9780452010284</t>
        </is>
      </c>
      <c r="BE408" t="inlineStr">
        <is>
          <t>30001002061648</t>
        </is>
      </c>
      <c r="BF408" t="inlineStr">
        <is>
          <t>893373672</t>
        </is>
      </c>
    </row>
    <row r="409">
      <c r="A409" t="inlineStr">
        <is>
          <t>No</t>
        </is>
      </c>
      <c r="B409" t="inlineStr">
        <is>
          <t>CUHSL</t>
        </is>
      </c>
      <c r="C409" t="inlineStr">
        <is>
          <t>SHELVES</t>
        </is>
      </c>
      <c r="D409" t="inlineStr">
        <is>
          <t>W 50 C951 1989</t>
        </is>
      </c>
      <c r="E409" t="inlineStr">
        <is>
          <t>0                      W  0050000C  951         1989</t>
        </is>
      </c>
      <c r="F409" t="inlineStr">
        <is>
          <t>Cross cultural perspectives in medical ethics / Robert M. Veatch, [editor].</t>
        </is>
      </c>
      <c r="H409" t="inlineStr">
        <is>
          <t>No</t>
        </is>
      </c>
      <c r="I409" t="inlineStr">
        <is>
          <t>1</t>
        </is>
      </c>
      <c r="J409" t="inlineStr">
        <is>
          <t>No</t>
        </is>
      </c>
      <c r="K409" t="inlineStr">
        <is>
          <t>Yes</t>
        </is>
      </c>
      <c r="L409" t="inlineStr">
        <is>
          <t>0</t>
        </is>
      </c>
      <c r="N409" t="inlineStr">
        <is>
          <t>Boston, MA : Jones and Bartlett, c1989.</t>
        </is>
      </c>
      <c r="O409" t="inlineStr">
        <is>
          <t>1989</t>
        </is>
      </c>
      <c r="Q409" t="inlineStr">
        <is>
          <t>eng</t>
        </is>
      </c>
      <c r="R409" t="inlineStr">
        <is>
          <t>mau</t>
        </is>
      </c>
      <c r="T409" t="inlineStr">
        <is>
          <t xml:space="preserve">W  </t>
        </is>
      </c>
      <c r="U409" t="n">
        <v>12</v>
      </c>
      <c r="V409" t="n">
        <v>12</v>
      </c>
      <c r="W409" t="inlineStr">
        <is>
          <t>2006-04-27</t>
        </is>
      </c>
      <c r="X409" t="inlineStr">
        <is>
          <t>2006-04-27</t>
        </is>
      </c>
      <c r="Y409" t="inlineStr">
        <is>
          <t>1988-12-14</t>
        </is>
      </c>
      <c r="Z409" t="inlineStr">
        <is>
          <t>1988-12-14</t>
        </is>
      </c>
      <c r="AA409" t="n">
        <v>507</v>
      </c>
      <c r="AB409" t="n">
        <v>414</v>
      </c>
      <c r="AC409" t="n">
        <v>783</v>
      </c>
      <c r="AD409" t="n">
        <v>3</v>
      </c>
      <c r="AE409" t="n">
        <v>5</v>
      </c>
      <c r="AF409" t="n">
        <v>25</v>
      </c>
      <c r="AG409" t="n">
        <v>38</v>
      </c>
      <c r="AH409" t="n">
        <v>12</v>
      </c>
      <c r="AI409" t="n">
        <v>17</v>
      </c>
      <c r="AJ409" t="n">
        <v>5</v>
      </c>
      <c r="AK409" t="n">
        <v>8</v>
      </c>
      <c r="AL409" t="n">
        <v>14</v>
      </c>
      <c r="AM409" t="n">
        <v>19</v>
      </c>
      <c r="AN409" t="n">
        <v>2</v>
      </c>
      <c r="AO409" t="n">
        <v>4</v>
      </c>
      <c r="AP409" t="n">
        <v>0</v>
      </c>
      <c r="AQ409" t="n">
        <v>0</v>
      </c>
      <c r="AR409" t="inlineStr">
        <is>
          <t>No</t>
        </is>
      </c>
      <c r="AS409" t="inlineStr">
        <is>
          <t>Yes</t>
        </is>
      </c>
      <c r="AT409">
        <f>HYPERLINK("http://catalog.hathitrust.org/Record/001295920","HathiTrust Record")</f>
        <v/>
      </c>
      <c r="AU409">
        <f>HYPERLINK("https://creighton-primo.hosted.exlibrisgroup.com/primo-explore/search?tab=default_tab&amp;search_scope=EVERYTHING&amp;vid=01CRU&amp;lang=en_US&amp;offset=0&amp;query=any,contains,991001105589702656","Catalog Record")</f>
        <v/>
      </c>
      <c r="AV409">
        <f>HYPERLINK("http://www.worldcat.org/oclc/18628714","WorldCat Record")</f>
        <v/>
      </c>
      <c r="AW409" t="inlineStr">
        <is>
          <t>889561136:eng</t>
        </is>
      </c>
      <c r="AX409" t="inlineStr">
        <is>
          <t>18628714</t>
        </is>
      </c>
      <c r="AY409" t="inlineStr">
        <is>
          <t>991001105589702656</t>
        </is>
      </c>
      <c r="AZ409" t="inlineStr">
        <is>
          <t>991001105589702656</t>
        </is>
      </c>
      <c r="BA409" t="inlineStr">
        <is>
          <t>2268219250002656</t>
        </is>
      </c>
      <c r="BB409" t="inlineStr">
        <is>
          <t>BOOK</t>
        </is>
      </c>
      <c r="BE409" t="inlineStr">
        <is>
          <t>30001001610874</t>
        </is>
      </c>
      <c r="BF409" t="inlineStr">
        <is>
          <t>893284405</t>
        </is>
      </c>
    </row>
    <row r="410">
      <c r="A410" t="inlineStr">
        <is>
          <t>No</t>
        </is>
      </c>
      <c r="B410" t="inlineStr">
        <is>
          <t>CUHSL</t>
        </is>
      </c>
      <c r="C410" t="inlineStr">
        <is>
          <t>SHELVES</t>
        </is>
      </c>
      <c r="D410" t="inlineStr">
        <is>
          <t>W 50 C976p 1973</t>
        </is>
      </c>
      <c r="E410" t="inlineStr">
        <is>
          <t>0                      W  0050000C  976p        1973</t>
        </is>
      </c>
      <c r="F410" t="inlineStr">
        <is>
          <t>Politics, medicine, and Christian ethics : a dialogue with Paul Ramsey / Charles E. Curran.</t>
        </is>
      </c>
      <c r="H410" t="inlineStr">
        <is>
          <t>No</t>
        </is>
      </c>
      <c r="I410" t="inlineStr">
        <is>
          <t>1</t>
        </is>
      </c>
      <c r="J410" t="inlineStr">
        <is>
          <t>No</t>
        </is>
      </c>
      <c r="K410" t="inlineStr">
        <is>
          <t>No</t>
        </is>
      </c>
      <c r="L410" t="inlineStr">
        <is>
          <t>0</t>
        </is>
      </c>
      <c r="M410" t="inlineStr">
        <is>
          <t>Curran, Charles E.</t>
        </is>
      </c>
      <c r="N410" t="inlineStr">
        <is>
          <t>Philadelphia : Fortress Press, [1973]</t>
        </is>
      </c>
      <c r="O410" t="inlineStr">
        <is>
          <t>1973</t>
        </is>
      </c>
      <c r="Q410" t="inlineStr">
        <is>
          <t>eng</t>
        </is>
      </c>
      <c r="R410" t="inlineStr">
        <is>
          <t>pau</t>
        </is>
      </c>
      <c r="T410" t="inlineStr">
        <is>
          <t xml:space="preserve">W  </t>
        </is>
      </c>
      <c r="U410" t="n">
        <v>2</v>
      </c>
      <c r="V410" t="n">
        <v>2</v>
      </c>
      <c r="W410" t="inlineStr">
        <is>
          <t>2000-04-02</t>
        </is>
      </c>
      <c r="X410" t="inlineStr">
        <is>
          <t>2000-04-02</t>
        </is>
      </c>
      <c r="Y410" t="inlineStr">
        <is>
          <t>1987-10-08</t>
        </is>
      </c>
      <c r="Z410" t="inlineStr">
        <is>
          <t>1987-10-08</t>
        </is>
      </c>
      <c r="AA410" t="n">
        <v>659</v>
      </c>
      <c r="AB410" t="n">
        <v>569</v>
      </c>
      <c r="AC410" t="n">
        <v>574</v>
      </c>
      <c r="AD410" t="n">
        <v>7</v>
      </c>
      <c r="AE410" t="n">
        <v>7</v>
      </c>
      <c r="AF410" t="n">
        <v>40</v>
      </c>
      <c r="AG410" t="n">
        <v>40</v>
      </c>
      <c r="AH410" t="n">
        <v>12</v>
      </c>
      <c r="AI410" t="n">
        <v>12</v>
      </c>
      <c r="AJ410" t="n">
        <v>9</v>
      </c>
      <c r="AK410" t="n">
        <v>9</v>
      </c>
      <c r="AL410" t="n">
        <v>26</v>
      </c>
      <c r="AM410" t="n">
        <v>26</v>
      </c>
      <c r="AN410" t="n">
        <v>5</v>
      </c>
      <c r="AO410" t="n">
        <v>5</v>
      </c>
      <c r="AP410" t="n">
        <v>0</v>
      </c>
      <c r="AQ410" t="n">
        <v>0</v>
      </c>
      <c r="AR410" t="inlineStr">
        <is>
          <t>No</t>
        </is>
      </c>
      <c r="AS410" t="inlineStr">
        <is>
          <t>No</t>
        </is>
      </c>
      <c r="AU410">
        <f>HYPERLINK("https://creighton-primo.hosted.exlibrisgroup.com/primo-explore/search?tab=default_tab&amp;search_scope=EVERYTHING&amp;vid=01CRU&amp;lang=en_US&amp;offset=0&amp;query=any,contains,991001184349702656","Catalog Record")</f>
        <v/>
      </c>
      <c r="AV410">
        <f>HYPERLINK("http://www.worldcat.org/oclc/704669","WorldCat Record")</f>
        <v/>
      </c>
      <c r="AW410" t="inlineStr">
        <is>
          <t>1622221:eng</t>
        </is>
      </c>
      <c r="AX410" t="inlineStr">
        <is>
          <t>704669</t>
        </is>
      </c>
      <c r="AY410" t="inlineStr">
        <is>
          <t>991001184349702656</t>
        </is>
      </c>
      <c r="AZ410" t="inlineStr">
        <is>
          <t>991001184349702656</t>
        </is>
      </c>
      <c r="BA410" t="inlineStr">
        <is>
          <t>2259166830002656</t>
        </is>
      </c>
      <c r="BB410" t="inlineStr">
        <is>
          <t>BOOK</t>
        </is>
      </c>
      <c r="BD410" t="inlineStr">
        <is>
          <t>9780800605001</t>
        </is>
      </c>
      <c r="BE410" t="inlineStr">
        <is>
          <t>30001000309650</t>
        </is>
      </c>
      <c r="BF410" t="inlineStr">
        <is>
          <t>893460331</t>
        </is>
      </c>
    </row>
    <row r="411">
      <c r="A411" t="inlineStr">
        <is>
          <t>No</t>
        </is>
      </c>
      <c r="B411" t="inlineStr">
        <is>
          <t>CUHSL</t>
        </is>
      </c>
      <c r="C411" t="inlineStr">
        <is>
          <t>SHELVES</t>
        </is>
      </c>
      <c r="D411" t="inlineStr">
        <is>
          <t>W 50 D183s 1995</t>
        </is>
      </c>
      <c r="E411" t="inlineStr">
        <is>
          <t>0                      W  0050000D  183s        1995</t>
        </is>
      </c>
      <c r="F411" t="inlineStr">
        <is>
          <t>Seeking fair treatment : from the AIDS epidemic to national health care reform / Norman Daniels.</t>
        </is>
      </c>
      <c r="H411" t="inlineStr">
        <is>
          <t>No</t>
        </is>
      </c>
      <c r="I411" t="inlineStr">
        <is>
          <t>1</t>
        </is>
      </c>
      <c r="J411" t="inlineStr">
        <is>
          <t>No</t>
        </is>
      </c>
      <c r="K411" t="inlineStr">
        <is>
          <t>No</t>
        </is>
      </c>
      <c r="L411" t="inlineStr">
        <is>
          <t>0</t>
        </is>
      </c>
      <c r="M411" t="inlineStr">
        <is>
          <t>Daniels, Norman, 1942-</t>
        </is>
      </c>
      <c r="N411" t="inlineStr">
        <is>
          <t>New York : Oxford University Press, c1995.</t>
        </is>
      </c>
      <c r="O411" t="inlineStr">
        <is>
          <t>1995</t>
        </is>
      </c>
      <c r="Q411" t="inlineStr">
        <is>
          <t>eng</t>
        </is>
      </c>
      <c r="R411" t="inlineStr">
        <is>
          <t>nyu</t>
        </is>
      </c>
      <c r="T411" t="inlineStr">
        <is>
          <t xml:space="preserve">W  </t>
        </is>
      </c>
      <c r="U411" t="n">
        <v>11</v>
      </c>
      <c r="V411" t="n">
        <v>11</v>
      </c>
      <c r="W411" t="inlineStr">
        <is>
          <t>2003-04-17</t>
        </is>
      </c>
      <c r="X411" t="inlineStr">
        <is>
          <t>2003-04-17</t>
        </is>
      </c>
      <c r="Y411" t="inlineStr">
        <is>
          <t>1995-05-02</t>
        </is>
      </c>
      <c r="Z411" t="inlineStr">
        <is>
          <t>1995-05-02</t>
        </is>
      </c>
      <c r="AA411" t="n">
        <v>462</v>
      </c>
      <c r="AB411" t="n">
        <v>412</v>
      </c>
      <c r="AC411" t="n">
        <v>428</v>
      </c>
      <c r="AD411" t="n">
        <v>1</v>
      </c>
      <c r="AE411" t="n">
        <v>1</v>
      </c>
      <c r="AF411" t="n">
        <v>19</v>
      </c>
      <c r="AG411" t="n">
        <v>21</v>
      </c>
      <c r="AH411" t="n">
        <v>7</v>
      </c>
      <c r="AI411" t="n">
        <v>8</v>
      </c>
      <c r="AJ411" t="n">
        <v>4</v>
      </c>
      <c r="AK411" t="n">
        <v>5</v>
      </c>
      <c r="AL411" t="n">
        <v>13</v>
      </c>
      <c r="AM411" t="n">
        <v>13</v>
      </c>
      <c r="AN411" t="n">
        <v>0</v>
      </c>
      <c r="AO411" t="n">
        <v>0</v>
      </c>
      <c r="AP411" t="n">
        <v>2</v>
      </c>
      <c r="AQ411" t="n">
        <v>2</v>
      </c>
      <c r="AR411" t="inlineStr">
        <is>
          <t>No</t>
        </is>
      </c>
      <c r="AS411" t="inlineStr">
        <is>
          <t>Yes</t>
        </is>
      </c>
      <c r="AT411">
        <f>HYPERLINK("http://catalog.hathitrust.org/Record/002987426","HathiTrust Record")</f>
        <v/>
      </c>
      <c r="AU411">
        <f>HYPERLINK("https://creighton-primo.hosted.exlibrisgroup.com/primo-explore/search?tab=default_tab&amp;search_scope=EVERYTHING&amp;vid=01CRU&amp;lang=en_US&amp;offset=0&amp;query=any,contains,991001399539702656","Catalog Record")</f>
        <v/>
      </c>
      <c r="AV411">
        <f>HYPERLINK("http://www.worldcat.org/oclc/31516981","WorldCat Record")</f>
        <v/>
      </c>
      <c r="AW411" t="inlineStr">
        <is>
          <t>793979106:eng</t>
        </is>
      </c>
      <c r="AX411" t="inlineStr">
        <is>
          <t>31516981</t>
        </is>
      </c>
      <c r="AY411" t="inlineStr">
        <is>
          <t>991001399539702656</t>
        </is>
      </c>
      <c r="AZ411" t="inlineStr">
        <is>
          <t>991001399539702656</t>
        </is>
      </c>
      <c r="BA411" t="inlineStr">
        <is>
          <t>2270709970002656</t>
        </is>
      </c>
      <c r="BB411" t="inlineStr">
        <is>
          <t>BOOK</t>
        </is>
      </c>
      <c r="BD411" t="inlineStr">
        <is>
          <t>9780195057126</t>
        </is>
      </c>
      <c r="BE411" t="inlineStr">
        <is>
          <t>30001003147529</t>
        </is>
      </c>
      <c r="BF411" t="inlineStr">
        <is>
          <t>893460530</t>
        </is>
      </c>
    </row>
    <row r="412">
      <c r="A412" t="inlineStr">
        <is>
          <t>No</t>
        </is>
      </c>
      <c r="B412" t="inlineStr">
        <is>
          <t>CUHSL</t>
        </is>
      </c>
      <c r="C412" t="inlineStr">
        <is>
          <t>SHELVES</t>
        </is>
      </c>
      <c r="D412" t="inlineStr">
        <is>
          <t>W 50 D2863p 1994</t>
        </is>
      </c>
      <c r="E412" t="inlineStr">
        <is>
          <t>0                      W  0050000D  2863p       1994</t>
        </is>
      </c>
      <c r="F412" t="inlineStr">
        <is>
          <t>A primer for health care ethics : essays for a pluralistic society / Jean deBlois, Patrick Norris, Kevin O'Rourke.</t>
        </is>
      </c>
      <c r="H412" t="inlineStr">
        <is>
          <t>No</t>
        </is>
      </c>
      <c r="I412" t="inlineStr">
        <is>
          <t>1</t>
        </is>
      </c>
      <c r="J412" t="inlineStr">
        <is>
          <t>No</t>
        </is>
      </c>
      <c r="K412" t="inlineStr">
        <is>
          <t>Yes</t>
        </is>
      </c>
      <c r="L412" t="inlineStr">
        <is>
          <t>0</t>
        </is>
      </c>
      <c r="M412" t="inlineStr">
        <is>
          <t>DeBlois, Jean.</t>
        </is>
      </c>
      <c r="N412" t="inlineStr">
        <is>
          <t>Washington, D.C. : Georgetown University Press, c1994.</t>
        </is>
      </c>
      <c r="O412" t="inlineStr">
        <is>
          <t>1994</t>
        </is>
      </c>
      <c r="Q412" t="inlineStr">
        <is>
          <t>eng</t>
        </is>
      </c>
      <c r="R412" t="inlineStr">
        <is>
          <t>dcu</t>
        </is>
      </c>
      <c r="T412" t="inlineStr">
        <is>
          <t xml:space="preserve">W  </t>
        </is>
      </c>
      <c r="U412" t="n">
        <v>18</v>
      </c>
      <c r="V412" t="n">
        <v>18</v>
      </c>
      <c r="W412" t="inlineStr">
        <is>
          <t>2005-04-12</t>
        </is>
      </c>
      <c r="X412" t="inlineStr">
        <is>
          <t>2005-04-12</t>
        </is>
      </c>
      <c r="Y412" t="inlineStr">
        <is>
          <t>1997-11-14</t>
        </is>
      </c>
      <c r="Z412" t="inlineStr">
        <is>
          <t>1997-11-14</t>
        </is>
      </c>
      <c r="AA412" t="n">
        <v>501</v>
      </c>
      <c r="AB412" t="n">
        <v>450</v>
      </c>
      <c r="AC412" t="n">
        <v>679</v>
      </c>
      <c r="AD412" t="n">
        <v>3</v>
      </c>
      <c r="AE412" t="n">
        <v>6</v>
      </c>
      <c r="AF412" t="n">
        <v>27</v>
      </c>
      <c r="AG412" t="n">
        <v>45</v>
      </c>
      <c r="AH412" t="n">
        <v>6</v>
      </c>
      <c r="AI412" t="n">
        <v>14</v>
      </c>
      <c r="AJ412" t="n">
        <v>4</v>
      </c>
      <c r="AK412" t="n">
        <v>7</v>
      </c>
      <c r="AL412" t="n">
        <v>16</v>
      </c>
      <c r="AM412" t="n">
        <v>24</v>
      </c>
      <c r="AN412" t="n">
        <v>2</v>
      </c>
      <c r="AO412" t="n">
        <v>4</v>
      </c>
      <c r="AP412" t="n">
        <v>5</v>
      </c>
      <c r="AQ412" t="n">
        <v>7</v>
      </c>
      <c r="AR412" t="inlineStr">
        <is>
          <t>No</t>
        </is>
      </c>
      <c r="AS412" t="inlineStr">
        <is>
          <t>Yes</t>
        </is>
      </c>
      <c r="AT412">
        <f>HYPERLINK("http://catalog.hathitrust.org/Record/002889707","HathiTrust Record")</f>
        <v/>
      </c>
      <c r="AU412">
        <f>HYPERLINK("https://creighton-primo.hosted.exlibrisgroup.com/primo-explore/search?tab=default_tab&amp;search_scope=EVERYTHING&amp;vid=01CRU&amp;lang=en_US&amp;offset=0&amp;query=any,contains,991001198989702656","Catalog Record")</f>
        <v/>
      </c>
      <c r="AV412">
        <f>HYPERLINK("http://www.worldcat.org/oclc/30110526","WorldCat Record")</f>
        <v/>
      </c>
      <c r="AW412" t="inlineStr">
        <is>
          <t>31882232:eng</t>
        </is>
      </c>
      <c r="AX412" t="inlineStr">
        <is>
          <t>30110526</t>
        </is>
      </c>
      <c r="AY412" t="inlineStr">
        <is>
          <t>991001198989702656</t>
        </is>
      </c>
      <c r="AZ412" t="inlineStr">
        <is>
          <t>991001198989702656</t>
        </is>
      </c>
      <c r="BA412" t="inlineStr">
        <is>
          <t>2255606310002656</t>
        </is>
      </c>
      <c r="BB412" t="inlineStr">
        <is>
          <t>BOOK</t>
        </is>
      </c>
      <c r="BD412" t="inlineStr">
        <is>
          <t>9780878405626</t>
        </is>
      </c>
      <c r="BE412" t="inlineStr">
        <is>
          <t>30001003654102</t>
        </is>
      </c>
      <c r="BF412" t="inlineStr">
        <is>
          <t>893369216</t>
        </is>
      </c>
    </row>
    <row r="413">
      <c r="A413" t="inlineStr">
        <is>
          <t>No</t>
        </is>
      </c>
      <c r="B413" t="inlineStr">
        <is>
          <t>CUHSL</t>
        </is>
      </c>
      <c r="C413" t="inlineStr">
        <is>
          <t>SHELVES</t>
        </is>
      </c>
      <c r="D413" t="inlineStr">
        <is>
          <t>W 50 D294 1979</t>
        </is>
      </c>
      <c r="E413" t="inlineStr">
        <is>
          <t>0                      W  0050000D  294         1979</t>
        </is>
      </c>
      <c r="F413" t="inlineStr">
        <is>
          <t>Decision making in medicine : the practice of its ethics / edited by Gordon Scorer and Antony Wing.</t>
        </is>
      </c>
      <c r="H413" t="inlineStr">
        <is>
          <t>No</t>
        </is>
      </c>
      <c r="I413" t="inlineStr">
        <is>
          <t>1</t>
        </is>
      </c>
      <c r="J413" t="inlineStr">
        <is>
          <t>No</t>
        </is>
      </c>
      <c r="K413" t="inlineStr">
        <is>
          <t>No</t>
        </is>
      </c>
      <c r="L413" t="inlineStr">
        <is>
          <t>0</t>
        </is>
      </c>
      <c r="N413" t="inlineStr">
        <is>
          <t>London : Edward Arnold, 1979.</t>
        </is>
      </c>
      <c r="O413" t="inlineStr">
        <is>
          <t>1979</t>
        </is>
      </c>
      <c r="Q413" t="inlineStr">
        <is>
          <t>eng</t>
        </is>
      </c>
      <c r="R413" t="inlineStr">
        <is>
          <t>enk</t>
        </is>
      </c>
      <c r="T413" t="inlineStr">
        <is>
          <t xml:space="preserve">W  </t>
        </is>
      </c>
      <c r="U413" t="n">
        <v>9</v>
      </c>
      <c r="V413" t="n">
        <v>9</v>
      </c>
      <c r="W413" t="inlineStr">
        <is>
          <t>1999-07-28</t>
        </is>
      </c>
      <c r="X413" t="inlineStr">
        <is>
          <t>1999-07-28</t>
        </is>
      </c>
      <c r="Y413" t="inlineStr">
        <is>
          <t>1987-10-02</t>
        </is>
      </c>
      <c r="Z413" t="inlineStr">
        <is>
          <t>1987-10-02</t>
        </is>
      </c>
      <c r="AA413" t="n">
        <v>198</v>
      </c>
      <c r="AB413" t="n">
        <v>96</v>
      </c>
      <c r="AC413" t="n">
        <v>98</v>
      </c>
      <c r="AD413" t="n">
        <v>1</v>
      </c>
      <c r="AE413" t="n">
        <v>1</v>
      </c>
      <c r="AF413" t="n">
        <v>1</v>
      </c>
      <c r="AG413" t="n">
        <v>1</v>
      </c>
      <c r="AH413" t="n">
        <v>0</v>
      </c>
      <c r="AI413" t="n">
        <v>0</v>
      </c>
      <c r="AJ413" t="n">
        <v>0</v>
      </c>
      <c r="AK413" t="n">
        <v>0</v>
      </c>
      <c r="AL413" t="n">
        <v>1</v>
      </c>
      <c r="AM413" t="n">
        <v>1</v>
      </c>
      <c r="AN413" t="n">
        <v>0</v>
      </c>
      <c r="AO413" t="n">
        <v>0</v>
      </c>
      <c r="AP413" t="n">
        <v>0</v>
      </c>
      <c r="AQ413" t="n">
        <v>0</v>
      </c>
      <c r="AR413" t="inlineStr">
        <is>
          <t>No</t>
        </is>
      </c>
      <c r="AS413" t="inlineStr">
        <is>
          <t>Yes</t>
        </is>
      </c>
      <c r="AT413">
        <f>HYPERLINK("http://catalog.hathitrust.org/Record/006158212","HathiTrust Record")</f>
        <v/>
      </c>
      <c r="AU413">
        <f>HYPERLINK("https://creighton-primo.hosted.exlibrisgroup.com/primo-explore/search?tab=default_tab&amp;search_scope=EVERYTHING&amp;vid=01CRU&amp;lang=en_US&amp;offset=0&amp;query=any,contains,991001184509702656","Catalog Record")</f>
        <v/>
      </c>
      <c r="AV413">
        <f>HYPERLINK("http://www.worldcat.org/oclc/6356015","WorldCat Record")</f>
        <v/>
      </c>
      <c r="AW413" t="inlineStr">
        <is>
          <t>21948801:eng</t>
        </is>
      </c>
      <c r="AX413" t="inlineStr">
        <is>
          <t>6356015</t>
        </is>
      </c>
      <c r="AY413" t="inlineStr">
        <is>
          <t>991001184509702656</t>
        </is>
      </c>
      <c r="AZ413" t="inlineStr">
        <is>
          <t>991001184509702656</t>
        </is>
      </c>
      <c r="BA413" t="inlineStr">
        <is>
          <t>2269600060002656</t>
        </is>
      </c>
      <c r="BB413" t="inlineStr">
        <is>
          <t>BOOK</t>
        </is>
      </c>
      <c r="BD413" t="inlineStr">
        <is>
          <t>9780713143423</t>
        </is>
      </c>
      <c r="BE413" t="inlineStr">
        <is>
          <t>30001000309700</t>
        </is>
      </c>
      <c r="BF413" t="inlineStr">
        <is>
          <t>893831981</t>
        </is>
      </c>
    </row>
    <row r="414">
      <c r="A414" t="inlineStr">
        <is>
          <t>No</t>
        </is>
      </c>
      <c r="B414" t="inlineStr">
        <is>
          <t>CUHSL</t>
        </is>
      </c>
      <c r="C414" t="inlineStr">
        <is>
          <t>SHELVES</t>
        </is>
      </c>
      <c r="D414" t="inlineStr">
        <is>
          <t>W 50 D6367 1989</t>
        </is>
      </c>
      <c r="E414" t="inlineStr">
        <is>
          <t>0                      W  0050000D  6367        1989</t>
        </is>
      </c>
      <c r="F414" t="inlineStr">
        <is>
          <t>Doctors' decisions : ethical conflicts in medical practice / edited by G.R. Dunstan and E.A. Shinebourne.</t>
        </is>
      </c>
      <c r="H414" t="inlineStr">
        <is>
          <t>No</t>
        </is>
      </c>
      <c r="I414" t="inlineStr">
        <is>
          <t>1</t>
        </is>
      </c>
      <c r="J414" t="inlineStr">
        <is>
          <t>No</t>
        </is>
      </c>
      <c r="K414" t="inlineStr">
        <is>
          <t>No</t>
        </is>
      </c>
      <c r="L414" t="inlineStr">
        <is>
          <t>0</t>
        </is>
      </c>
      <c r="N414" t="inlineStr">
        <is>
          <t>Oxford ; New York : Oxford University Press, c1989.</t>
        </is>
      </c>
      <c r="O414" t="inlineStr">
        <is>
          <t>1989</t>
        </is>
      </c>
      <c r="Q414" t="inlineStr">
        <is>
          <t>eng</t>
        </is>
      </c>
      <c r="R414" t="inlineStr">
        <is>
          <t>enk</t>
        </is>
      </c>
      <c r="S414" t="inlineStr">
        <is>
          <t>Oxford medical publications</t>
        </is>
      </c>
      <c r="T414" t="inlineStr">
        <is>
          <t xml:space="preserve">W  </t>
        </is>
      </c>
      <c r="U414" t="n">
        <v>6</v>
      </c>
      <c r="V414" t="n">
        <v>6</v>
      </c>
      <c r="W414" t="inlineStr">
        <is>
          <t>1991-11-16</t>
        </is>
      </c>
      <c r="X414" t="inlineStr">
        <is>
          <t>1991-11-16</t>
        </is>
      </c>
      <c r="Y414" t="inlineStr">
        <is>
          <t>1990-09-28</t>
        </is>
      </c>
      <c r="Z414" t="inlineStr">
        <is>
          <t>1990-09-28</t>
        </is>
      </c>
      <c r="AA414" t="n">
        <v>363</v>
      </c>
      <c r="AB414" t="n">
        <v>220</v>
      </c>
      <c r="AC414" t="n">
        <v>222</v>
      </c>
      <c r="AD414" t="n">
        <v>2</v>
      </c>
      <c r="AE414" t="n">
        <v>2</v>
      </c>
      <c r="AF414" t="n">
        <v>14</v>
      </c>
      <c r="AG414" t="n">
        <v>14</v>
      </c>
      <c r="AH414" t="n">
        <v>5</v>
      </c>
      <c r="AI414" t="n">
        <v>5</v>
      </c>
      <c r="AJ414" t="n">
        <v>3</v>
      </c>
      <c r="AK414" t="n">
        <v>3</v>
      </c>
      <c r="AL414" t="n">
        <v>9</v>
      </c>
      <c r="AM414" t="n">
        <v>9</v>
      </c>
      <c r="AN414" t="n">
        <v>1</v>
      </c>
      <c r="AO414" t="n">
        <v>1</v>
      </c>
      <c r="AP414" t="n">
        <v>2</v>
      </c>
      <c r="AQ414" t="n">
        <v>2</v>
      </c>
      <c r="AR414" t="inlineStr">
        <is>
          <t>No</t>
        </is>
      </c>
      <c r="AS414" t="inlineStr">
        <is>
          <t>Yes</t>
        </is>
      </c>
      <c r="AT414">
        <f>HYPERLINK("http://catalog.hathitrust.org/Record/001540969","HathiTrust Record")</f>
        <v/>
      </c>
      <c r="AU414">
        <f>HYPERLINK("https://creighton-primo.hosted.exlibrisgroup.com/primo-explore/search?tab=default_tab&amp;search_scope=EVERYTHING&amp;vid=01CRU&amp;lang=en_US&amp;offset=0&amp;query=any,contains,991001455039702656","Catalog Record")</f>
        <v/>
      </c>
      <c r="AV414">
        <f>HYPERLINK("http://www.worldcat.org/oclc/18588287","WorldCat Record")</f>
        <v/>
      </c>
      <c r="AW414" t="inlineStr">
        <is>
          <t>836730054:eng</t>
        </is>
      </c>
      <c r="AX414" t="inlineStr">
        <is>
          <t>18588287</t>
        </is>
      </c>
      <c r="AY414" t="inlineStr">
        <is>
          <t>991001455039702656</t>
        </is>
      </c>
      <c r="AZ414" t="inlineStr">
        <is>
          <t>991001455039702656</t>
        </is>
      </c>
      <c r="BA414" t="inlineStr">
        <is>
          <t>2272553400002656</t>
        </is>
      </c>
      <c r="BB414" t="inlineStr">
        <is>
          <t>BOOK</t>
        </is>
      </c>
      <c r="BD414" t="inlineStr">
        <is>
          <t>9780192616319</t>
        </is>
      </c>
      <c r="BE414" t="inlineStr">
        <is>
          <t>30001001884875</t>
        </is>
      </c>
      <c r="BF414" t="inlineStr">
        <is>
          <t>893541426</t>
        </is>
      </c>
    </row>
    <row r="415">
      <c r="A415" t="inlineStr">
        <is>
          <t>No</t>
        </is>
      </c>
      <c r="B415" t="inlineStr">
        <is>
          <t>CUHSL</t>
        </is>
      </c>
      <c r="C415" t="inlineStr">
        <is>
          <t>SHELVES</t>
        </is>
      </c>
      <c r="D415" t="inlineStr">
        <is>
          <t>W 50 D637 1980</t>
        </is>
      </c>
      <c r="E415" t="inlineStr">
        <is>
          <t>0                      W  0050000D  637         1980</t>
        </is>
      </c>
      <c r="F415" t="inlineStr">
        <is>
          <t>Doctors, patients, and society : power and authority in medical care / edited by Martin S. Staum and Donald E. Larsen ; essays by David J. Roy ... [et al.].</t>
        </is>
      </c>
      <c r="H415" t="inlineStr">
        <is>
          <t>No</t>
        </is>
      </c>
      <c r="I415" t="inlineStr">
        <is>
          <t>1</t>
        </is>
      </c>
      <c r="J415" t="inlineStr">
        <is>
          <t>No</t>
        </is>
      </c>
      <c r="K415" t="inlineStr">
        <is>
          <t>No</t>
        </is>
      </c>
      <c r="L415" t="inlineStr">
        <is>
          <t>0</t>
        </is>
      </c>
      <c r="N415" t="inlineStr">
        <is>
          <t>Waterloo, Ont., Canada : Published by Wilfrid Laurier University Press for the Calgary Institute for the Humanities, c1981.</t>
        </is>
      </c>
      <c r="O415" t="inlineStr">
        <is>
          <t>1981</t>
        </is>
      </c>
      <c r="Q415" t="inlineStr">
        <is>
          <t>eng</t>
        </is>
      </c>
      <c r="R415" t="inlineStr">
        <is>
          <t xml:space="preserve">ja </t>
        </is>
      </c>
      <c r="T415" t="inlineStr">
        <is>
          <t xml:space="preserve">W  </t>
        </is>
      </c>
      <c r="U415" t="n">
        <v>4</v>
      </c>
      <c r="V415" t="n">
        <v>4</v>
      </c>
      <c r="W415" t="inlineStr">
        <is>
          <t>1990-12-02</t>
        </is>
      </c>
      <c r="X415" t="inlineStr">
        <is>
          <t>1990-12-02</t>
        </is>
      </c>
      <c r="Y415" t="inlineStr">
        <is>
          <t>1987-10-02</t>
        </is>
      </c>
      <c r="Z415" t="inlineStr">
        <is>
          <t>1987-10-02</t>
        </is>
      </c>
      <c r="AA415" t="n">
        <v>146</v>
      </c>
      <c r="AB415" t="n">
        <v>85</v>
      </c>
      <c r="AC415" t="n">
        <v>183</v>
      </c>
      <c r="AD415" t="n">
        <v>1</v>
      </c>
      <c r="AE415" t="n">
        <v>2</v>
      </c>
      <c r="AF415" t="n">
        <v>1</v>
      </c>
      <c r="AG415" t="n">
        <v>5</v>
      </c>
      <c r="AH415" t="n">
        <v>1</v>
      </c>
      <c r="AI415" t="n">
        <v>3</v>
      </c>
      <c r="AJ415" t="n">
        <v>0</v>
      </c>
      <c r="AK415" t="n">
        <v>2</v>
      </c>
      <c r="AL415" t="n">
        <v>1</v>
      </c>
      <c r="AM415" t="n">
        <v>1</v>
      </c>
      <c r="AN415" t="n">
        <v>0</v>
      </c>
      <c r="AO415" t="n">
        <v>1</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HYPERLINK("https://creighton-primo.hosted.exlibrisgroup.com/primo-explore/search?tab=default_tab&amp;search_scope=EVERYTHING&amp;vid=01CRU&amp;lang=en_US&amp;offset=0&amp;query=any,contains,991001184849702656","Catalog Record")</f>
        <v/>
      </c>
      <c r="AV415">
        <f>HYPERLINK("http://www.worldcat.org/oclc/9255090","WorldCat Record")</f>
        <v/>
      </c>
      <c r="AW415" t="inlineStr">
        <is>
          <t>855536710:eng</t>
        </is>
      </c>
      <c r="AX415" t="inlineStr">
        <is>
          <t>9255090</t>
        </is>
      </c>
      <c r="AY415" t="inlineStr">
        <is>
          <t>991001184849702656</t>
        </is>
      </c>
      <c r="AZ415" t="inlineStr">
        <is>
          <t>991001184849702656</t>
        </is>
      </c>
      <c r="BA415" t="inlineStr">
        <is>
          <t>2263881410002656</t>
        </is>
      </c>
      <c r="BB415" t="inlineStr">
        <is>
          <t>BOOK</t>
        </is>
      </c>
      <c r="BD415" t="inlineStr">
        <is>
          <t>9780889201118</t>
        </is>
      </c>
      <c r="BE415" t="inlineStr">
        <is>
          <t>30001000309734</t>
        </is>
      </c>
      <c r="BF415" t="inlineStr">
        <is>
          <t>893284535</t>
        </is>
      </c>
    </row>
    <row r="416">
      <c r="A416" t="inlineStr">
        <is>
          <t>No</t>
        </is>
      </c>
      <c r="B416" t="inlineStr">
        <is>
          <t>CUHSL</t>
        </is>
      </c>
      <c r="C416" t="inlineStr">
        <is>
          <t>SHELVES</t>
        </is>
      </c>
      <c r="D416" t="inlineStr">
        <is>
          <t>W 50 D655m 1983</t>
        </is>
      </c>
      <c r="E416" t="inlineStr">
        <is>
          <t>0                      W  0050000D  655m        1983</t>
        </is>
      </c>
      <c r="F416" t="inlineStr">
        <is>
          <t>Medical ethics / Peter Doherty.</t>
        </is>
      </c>
      <c r="H416" t="inlineStr">
        <is>
          <t>No</t>
        </is>
      </c>
      <c r="I416" t="inlineStr">
        <is>
          <t>1</t>
        </is>
      </c>
      <c r="J416" t="inlineStr">
        <is>
          <t>No</t>
        </is>
      </c>
      <c r="K416" t="inlineStr">
        <is>
          <t>No</t>
        </is>
      </c>
      <c r="L416" t="inlineStr">
        <is>
          <t>0</t>
        </is>
      </c>
      <c r="M416" t="inlineStr">
        <is>
          <t>Doherty, Peter.</t>
        </is>
      </c>
      <c r="N416" t="inlineStr">
        <is>
          <t>Bristol : Guild of Catholic Doctors, c1983.</t>
        </is>
      </c>
      <c r="O416" t="inlineStr">
        <is>
          <t>1983</t>
        </is>
      </c>
      <c r="Q416" t="inlineStr">
        <is>
          <t>eng</t>
        </is>
      </c>
      <c r="R416" t="inlineStr">
        <is>
          <t>enk</t>
        </is>
      </c>
      <c r="T416" t="inlineStr">
        <is>
          <t xml:space="preserve">W  </t>
        </is>
      </c>
      <c r="U416" t="n">
        <v>13</v>
      </c>
      <c r="V416" t="n">
        <v>13</v>
      </c>
      <c r="W416" t="inlineStr">
        <is>
          <t>2000-09-06</t>
        </is>
      </c>
      <c r="X416" t="inlineStr">
        <is>
          <t>2000-09-06</t>
        </is>
      </c>
      <c r="Y416" t="inlineStr">
        <is>
          <t>1987-10-02</t>
        </is>
      </c>
      <c r="Z416" t="inlineStr">
        <is>
          <t>1987-10-02</t>
        </is>
      </c>
      <c r="AA416" t="n">
        <v>41</v>
      </c>
      <c r="AB416" t="n">
        <v>21</v>
      </c>
      <c r="AC416" t="n">
        <v>21</v>
      </c>
      <c r="AD416" t="n">
        <v>1</v>
      </c>
      <c r="AE416" t="n">
        <v>1</v>
      </c>
      <c r="AF416" t="n">
        <v>4</v>
      </c>
      <c r="AG416" t="n">
        <v>4</v>
      </c>
      <c r="AH416" t="n">
        <v>0</v>
      </c>
      <c r="AI416" t="n">
        <v>0</v>
      </c>
      <c r="AJ416" t="n">
        <v>0</v>
      </c>
      <c r="AK416" t="n">
        <v>0</v>
      </c>
      <c r="AL416" t="n">
        <v>4</v>
      </c>
      <c r="AM416" t="n">
        <v>4</v>
      </c>
      <c r="AN416" t="n">
        <v>0</v>
      </c>
      <c r="AO416" t="n">
        <v>0</v>
      </c>
      <c r="AP416" t="n">
        <v>0</v>
      </c>
      <c r="AQ416" t="n">
        <v>0</v>
      </c>
      <c r="AR416" t="inlineStr">
        <is>
          <t>No</t>
        </is>
      </c>
      <c r="AS416" t="inlineStr">
        <is>
          <t>No</t>
        </is>
      </c>
      <c r="AU416">
        <f>HYPERLINK("https://creighton-primo.hosted.exlibrisgroup.com/primo-explore/search?tab=default_tab&amp;search_scope=EVERYTHING&amp;vid=01CRU&amp;lang=en_US&amp;offset=0&amp;query=any,contains,991001184969702656","Catalog Record")</f>
        <v/>
      </c>
      <c r="AV416">
        <f>HYPERLINK("http://www.worldcat.org/oclc/10430087","WorldCat Record")</f>
        <v/>
      </c>
      <c r="AW416" t="inlineStr">
        <is>
          <t>3756663987:eng</t>
        </is>
      </c>
      <c r="AX416" t="inlineStr">
        <is>
          <t>10430087</t>
        </is>
      </c>
      <c r="AY416" t="inlineStr">
        <is>
          <t>991001184969702656</t>
        </is>
      </c>
      <c r="AZ416" t="inlineStr">
        <is>
          <t>991001184969702656</t>
        </is>
      </c>
      <c r="BA416" t="inlineStr">
        <is>
          <t>2261296650002656</t>
        </is>
      </c>
      <c r="BB416" t="inlineStr">
        <is>
          <t>BOOK</t>
        </is>
      </c>
      <c r="BE416" t="inlineStr">
        <is>
          <t>30001000309759</t>
        </is>
      </c>
      <c r="BF416" t="inlineStr">
        <is>
          <t>893736299</t>
        </is>
      </c>
    </row>
    <row r="417">
      <c r="A417" t="inlineStr">
        <is>
          <t>No</t>
        </is>
      </c>
      <c r="B417" t="inlineStr">
        <is>
          <t>CUHSL</t>
        </is>
      </c>
      <c r="C417" t="inlineStr">
        <is>
          <t>SHELVES</t>
        </is>
      </c>
      <c r="D417" t="inlineStr">
        <is>
          <t>W 50 D751e 1969</t>
        </is>
      </c>
      <c r="E417" t="inlineStr">
        <is>
          <t>0                      W  0050000D  751e        1969</t>
        </is>
      </c>
      <c r="F417" t="inlineStr">
        <is>
          <t>Euthanasia and the right to death : the case for voluntary euthanasia / edited by A. B. Downing.</t>
        </is>
      </c>
      <c r="H417" t="inlineStr">
        <is>
          <t>No</t>
        </is>
      </c>
      <c r="I417" t="inlineStr">
        <is>
          <t>1</t>
        </is>
      </c>
      <c r="J417" t="inlineStr">
        <is>
          <t>No</t>
        </is>
      </c>
      <c r="K417" t="inlineStr">
        <is>
          <t>No</t>
        </is>
      </c>
      <c r="L417" t="inlineStr">
        <is>
          <t>0</t>
        </is>
      </c>
      <c r="N417" t="inlineStr">
        <is>
          <t>London : Owen, 1969.</t>
        </is>
      </c>
      <c r="O417" t="inlineStr">
        <is>
          <t>1969</t>
        </is>
      </c>
      <c r="Q417" t="inlineStr">
        <is>
          <t>eng</t>
        </is>
      </c>
      <c r="R417" t="inlineStr">
        <is>
          <t>enk</t>
        </is>
      </c>
      <c r="S417" t="inlineStr">
        <is>
          <t>Contemporary issues series ; 2</t>
        </is>
      </c>
      <c r="T417" t="inlineStr">
        <is>
          <t xml:space="preserve">W  </t>
        </is>
      </c>
      <c r="U417" t="n">
        <v>12</v>
      </c>
      <c r="V417" t="n">
        <v>12</v>
      </c>
      <c r="W417" t="inlineStr">
        <is>
          <t>2000-10-01</t>
        </is>
      </c>
      <c r="X417" t="inlineStr">
        <is>
          <t>2000-10-01</t>
        </is>
      </c>
      <c r="Y417" t="inlineStr">
        <is>
          <t>1987-10-07</t>
        </is>
      </c>
      <c r="Z417" t="inlineStr">
        <is>
          <t>1987-10-07</t>
        </is>
      </c>
      <c r="AA417" t="n">
        <v>607</v>
      </c>
      <c r="AB417" t="n">
        <v>434</v>
      </c>
      <c r="AC417" t="n">
        <v>741</v>
      </c>
      <c r="AD417" t="n">
        <v>4</v>
      </c>
      <c r="AE417" t="n">
        <v>6</v>
      </c>
      <c r="AF417" t="n">
        <v>13</v>
      </c>
      <c r="AG417" t="n">
        <v>25</v>
      </c>
      <c r="AH417" t="n">
        <v>3</v>
      </c>
      <c r="AI417" t="n">
        <v>5</v>
      </c>
      <c r="AJ417" t="n">
        <v>3</v>
      </c>
      <c r="AK417" t="n">
        <v>5</v>
      </c>
      <c r="AL417" t="n">
        <v>4</v>
      </c>
      <c r="AM417" t="n">
        <v>8</v>
      </c>
      <c r="AN417" t="n">
        <v>3</v>
      </c>
      <c r="AO417" t="n">
        <v>4</v>
      </c>
      <c r="AP417" t="n">
        <v>3</v>
      </c>
      <c r="AQ417" t="n">
        <v>7</v>
      </c>
      <c r="AR417" t="inlineStr">
        <is>
          <t>No</t>
        </is>
      </c>
      <c r="AS417" t="inlineStr">
        <is>
          <t>Yes</t>
        </is>
      </c>
      <c r="AT417">
        <f>HYPERLINK("http://catalog.hathitrust.org/Record/001557854","HathiTrust Record")</f>
        <v/>
      </c>
      <c r="AU417">
        <f>HYPERLINK("https://creighton-primo.hosted.exlibrisgroup.com/primo-explore/search?tab=default_tab&amp;search_scope=EVERYTHING&amp;vid=01CRU&amp;lang=en_US&amp;offset=0&amp;query=any,contains,991001184999702656","Catalog Record")</f>
        <v/>
      </c>
      <c r="AV417">
        <f>HYPERLINK("http://www.worldcat.org/oclc/27493","WorldCat Record")</f>
        <v/>
      </c>
      <c r="AW417" t="inlineStr">
        <is>
          <t>836625496:eng</t>
        </is>
      </c>
      <c r="AX417" t="inlineStr">
        <is>
          <t>27493</t>
        </is>
      </c>
      <c r="AY417" t="inlineStr">
        <is>
          <t>991001184999702656</t>
        </is>
      </c>
      <c r="AZ417" t="inlineStr">
        <is>
          <t>991001184999702656</t>
        </is>
      </c>
      <c r="BA417" t="inlineStr">
        <is>
          <t>2262624990002656</t>
        </is>
      </c>
      <c r="BB417" t="inlineStr">
        <is>
          <t>BOOK</t>
        </is>
      </c>
      <c r="BD417" t="inlineStr">
        <is>
          <t>9780720628302</t>
        </is>
      </c>
      <c r="BE417" t="inlineStr">
        <is>
          <t>30001000309767</t>
        </is>
      </c>
      <c r="BF417" t="inlineStr">
        <is>
          <t>893455538</t>
        </is>
      </c>
    </row>
    <row r="418">
      <c r="A418" t="inlineStr">
        <is>
          <t>No</t>
        </is>
      </c>
      <c r="B418" t="inlineStr">
        <is>
          <t>CUHSL</t>
        </is>
      </c>
      <c r="C418" t="inlineStr">
        <is>
          <t>SHELVES</t>
        </is>
      </c>
      <c r="D418" t="inlineStr">
        <is>
          <t>W 50 D814e 1992</t>
        </is>
      </c>
      <c r="E418" t="inlineStr">
        <is>
          <t>0                      W  0050000D  814e        1992</t>
        </is>
      </c>
      <c r="F418" t="inlineStr">
        <is>
          <t>Ethics on call : a medical ethicist shows how to take charge of life-and-death choices / Nancy Neveloff Dubler and David Nimmons.</t>
        </is>
      </c>
      <c r="H418" t="inlineStr">
        <is>
          <t>No</t>
        </is>
      </c>
      <c r="I418" t="inlineStr">
        <is>
          <t>1</t>
        </is>
      </c>
      <c r="J418" t="inlineStr">
        <is>
          <t>No</t>
        </is>
      </c>
      <c r="K418" t="inlineStr">
        <is>
          <t>No</t>
        </is>
      </c>
      <c r="L418" t="inlineStr">
        <is>
          <t>0</t>
        </is>
      </c>
      <c r="M418" t="inlineStr">
        <is>
          <t>Dubler, Nancy N.</t>
        </is>
      </c>
      <c r="N418" t="inlineStr">
        <is>
          <t>New York : Harmony Books, c1992.</t>
        </is>
      </c>
      <c r="O418" t="inlineStr">
        <is>
          <t>1992</t>
        </is>
      </c>
      <c r="P418" t="inlineStr">
        <is>
          <t>1st ed.</t>
        </is>
      </c>
      <c r="Q418" t="inlineStr">
        <is>
          <t>eng</t>
        </is>
      </c>
      <c r="R418" t="inlineStr">
        <is>
          <t>nyu</t>
        </is>
      </c>
      <c r="T418" t="inlineStr">
        <is>
          <t xml:space="preserve">W  </t>
        </is>
      </c>
      <c r="U418" t="n">
        <v>10</v>
      </c>
      <c r="V418" t="n">
        <v>10</v>
      </c>
      <c r="W418" t="inlineStr">
        <is>
          <t>1994-05-22</t>
        </is>
      </c>
      <c r="X418" t="inlineStr">
        <is>
          <t>1994-05-22</t>
        </is>
      </c>
      <c r="Y418" t="inlineStr">
        <is>
          <t>1992-10-07</t>
        </is>
      </c>
      <c r="Z418" t="inlineStr">
        <is>
          <t>1992-10-07</t>
        </is>
      </c>
      <c r="AA418" t="n">
        <v>577</v>
      </c>
      <c r="AB418" t="n">
        <v>532</v>
      </c>
      <c r="AC418" t="n">
        <v>539</v>
      </c>
      <c r="AD418" t="n">
        <v>5</v>
      </c>
      <c r="AE418" t="n">
        <v>5</v>
      </c>
      <c r="AF418" t="n">
        <v>13</v>
      </c>
      <c r="AG418" t="n">
        <v>13</v>
      </c>
      <c r="AH418" t="n">
        <v>3</v>
      </c>
      <c r="AI418" t="n">
        <v>3</v>
      </c>
      <c r="AJ418" t="n">
        <v>1</v>
      </c>
      <c r="AK418" t="n">
        <v>1</v>
      </c>
      <c r="AL418" t="n">
        <v>6</v>
      </c>
      <c r="AM418" t="n">
        <v>6</v>
      </c>
      <c r="AN418" t="n">
        <v>1</v>
      </c>
      <c r="AO418" t="n">
        <v>1</v>
      </c>
      <c r="AP418" t="n">
        <v>4</v>
      </c>
      <c r="AQ418" t="n">
        <v>4</v>
      </c>
      <c r="AR418" t="inlineStr">
        <is>
          <t>No</t>
        </is>
      </c>
      <c r="AS418" t="inlineStr">
        <is>
          <t>Yes</t>
        </is>
      </c>
      <c r="AT418">
        <f>HYPERLINK("http://catalog.hathitrust.org/Record/002725944","HathiTrust Record")</f>
        <v/>
      </c>
      <c r="AU418">
        <f>HYPERLINK("https://creighton-primo.hosted.exlibrisgroup.com/primo-explore/search?tab=default_tab&amp;search_scope=EVERYTHING&amp;vid=01CRU&amp;lang=en_US&amp;offset=0&amp;query=any,contains,991001344939702656","Catalog Record")</f>
        <v/>
      </c>
      <c r="AV418">
        <f>HYPERLINK("http://www.worldcat.org/oclc/24908151","WorldCat Record")</f>
        <v/>
      </c>
      <c r="AW418" t="inlineStr">
        <is>
          <t>228280562:eng</t>
        </is>
      </c>
      <c r="AX418" t="inlineStr">
        <is>
          <t>24908151</t>
        </is>
      </c>
      <c r="AY418" t="inlineStr">
        <is>
          <t>991001344939702656</t>
        </is>
      </c>
      <c r="AZ418" t="inlineStr">
        <is>
          <t>991001344939702656</t>
        </is>
      </c>
      <c r="BA418" t="inlineStr">
        <is>
          <t>2267078580002656</t>
        </is>
      </c>
      <c r="BB418" t="inlineStr">
        <is>
          <t>BOOK</t>
        </is>
      </c>
      <c r="BD418" t="inlineStr">
        <is>
          <t>9780517583999</t>
        </is>
      </c>
      <c r="BE418" t="inlineStr">
        <is>
          <t>30001002456855</t>
        </is>
      </c>
      <c r="BF418" t="inlineStr">
        <is>
          <t>893451097</t>
        </is>
      </c>
    </row>
    <row r="419">
      <c r="A419" t="inlineStr">
        <is>
          <t>No</t>
        </is>
      </c>
      <c r="B419" t="inlineStr">
        <is>
          <t>CUHSL</t>
        </is>
      </c>
      <c r="C419" t="inlineStr">
        <is>
          <t>SHELVES</t>
        </is>
      </c>
      <c r="D419" t="inlineStr">
        <is>
          <t>W 50 D981w 1988</t>
        </is>
      </c>
      <c r="E419" t="inlineStr">
        <is>
          <t>0                      W  0050000D  981w        1988</t>
        </is>
      </c>
      <c r="F419" t="inlineStr">
        <is>
          <t>Worse than the disease : pitfalls of medical progress / Diana B. Dutton, with contributions by Thomas A. Preston, Nancy E. Pfund.</t>
        </is>
      </c>
      <c r="H419" t="inlineStr">
        <is>
          <t>No</t>
        </is>
      </c>
      <c r="I419" t="inlineStr">
        <is>
          <t>1</t>
        </is>
      </c>
      <c r="J419" t="inlineStr">
        <is>
          <t>No</t>
        </is>
      </c>
      <c r="K419" t="inlineStr">
        <is>
          <t>No</t>
        </is>
      </c>
      <c r="L419" t="inlineStr">
        <is>
          <t>0</t>
        </is>
      </c>
      <c r="M419" t="inlineStr">
        <is>
          <t>Dutton, Diana Barbara.</t>
        </is>
      </c>
      <c r="N419" t="inlineStr">
        <is>
          <t>Cambridge ; New York : Cambridge University Press, 1988.</t>
        </is>
      </c>
      <c r="O419" t="inlineStr">
        <is>
          <t>1988</t>
        </is>
      </c>
      <c r="Q419" t="inlineStr">
        <is>
          <t>eng</t>
        </is>
      </c>
      <c r="R419" t="inlineStr">
        <is>
          <t>enk</t>
        </is>
      </c>
      <c r="T419" t="inlineStr">
        <is>
          <t xml:space="preserve">W  </t>
        </is>
      </c>
      <c r="U419" t="n">
        <v>11</v>
      </c>
      <c r="V419" t="n">
        <v>11</v>
      </c>
      <c r="W419" t="inlineStr">
        <is>
          <t>1998-11-14</t>
        </is>
      </c>
      <c r="X419" t="inlineStr">
        <is>
          <t>1998-11-14</t>
        </is>
      </c>
      <c r="Y419" t="inlineStr">
        <is>
          <t>1989-07-11</t>
        </is>
      </c>
      <c r="Z419" t="inlineStr">
        <is>
          <t>1989-07-11</t>
        </is>
      </c>
      <c r="AA419" t="n">
        <v>626</v>
      </c>
      <c r="AB419" t="n">
        <v>517</v>
      </c>
      <c r="AC419" t="n">
        <v>551</v>
      </c>
      <c r="AD419" t="n">
        <v>1</v>
      </c>
      <c r="AE419" t="n">
        <v>2</v>
      </c>
      <c r="AF419" t="n">
        <v>16</v>
      </c>
      <c r="AG419" t="n">
        <v>18</v>
      </c>
      <c r="AH419" t="n">
        <v>7</v>
      </c>
      <c r="AI419" t="n">
        <v>8</v>
      </c>
      <c r="AJ419" t="n">
        <v>7</v>
      </c>
      <c r="AK419" t="n">
        <v>7</v>
      </c>
      <c r="AL419" t="n">
        <v>9</v>
      </c>
      <c r="AM419" t="n">
        <v>10</v>
      </c>
      <c r="AN419" t="n">
        <v>0</v>
      </c>
      <c r="AO419" t="n">
        <v>1</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HYPERLINK("https://creighton-primo.hosted.exlibrisgroup.com/primo-explore/search?tab=default_tab&amp;search_scope=EVERYTHING&amp;vid=01CRU&amp;lang=en_US&amp;offset=0&amp;query=any,contains,991001253079702656","Catalog Record")</f>
        <v/>
      </c>
      <c r="AV419">
        <f>HYPERLINK("http://www.worldcat.org/oclc/17234197","WorldCat Record")</f>
        <v/>
      </c>
      <c r="AW419" t="inlineStr">
        <is>
          <t>836740148:eng</t>
        </is>
      </c>
      <c r="AX419" t="inlineStr">
        <is>
          <t>17234197</t>
        </is>
      </c>
      <c r="AY419" t="inlineStr">
        <is>
          <t>991001253079702656</t>
        </is>
      </c>
      <c r="AZ419" t="inlineStr">
        <is>
          <t>991001253079702656</t>
        </is>
      </c>
      <c r="BA419" t="inlineStr">
        <is>
          <t>2255361870002656</t>
        </is>
      </c>
      <c r="BB419" t="inlineStr">
        <is>
          <t>BOOK</t>
        </is>
      </c>
      <c r="BD419" t="inlineStr">
        <is>
          <t>9780521340236</t>
        </is>
      </c>
      <c r="BE419" t="inlineStr">
        <is>
          <t>30001001679507</t>
        </is>
      </c>
      <c r="BF419" t="inlineStr">
        <is>
          <t>893541161</t>
        </is>
      </c>
    </row>
    <row r="420">
      <c r="A420" t="inlineStr">
        <is>
          <t>No</t>
        </is>
      </c>
      <c r="B420" t="inlineStr">
        <is>
          <t>CUHSL</t>
        </is>
      </c>
      <c r="C420" t="inlineStr">
        <is>
          <t>SHELVES</t>
        </is>
      </c>
      <c r="D420" t="inlineStr">
        <is>
          <t>W50 E23e 1999</t>
        </is>
      </c>
      <c r="E420" t="inlineStr">
        <is>
          <t>0                      W  0050000E  23e         1999</t>
        </is>
      </c>
      <c r="F420" t="inlineStr">
        <is>
          <t>The ethics of health care : a guide for clinical practice / Raymond S. Edge, John Randall Groves.</t>
        </is>
      </c>
      <c r="H420" t="inlineStr">
        <is>
          <t>No</t>
        </is>
      </c>
      <c r="I420" t="inlineStr">
        <is>
          <t>2</t>
        </is>
      </c>
      <c r="J420" t="inlineStr">
        <is>
          <t>Yes</t>
        </is>
      </c>
      <c r="K420" t="inlineStr">
        <is>
          <t>Yes</t>
        </is>
      </c>
      <c r="L420" t="inlineStr">
        <is>
          <t>0</t>
        </is>
      </c>
      <c r="M420" t="inlineStr">
        <is>
          <t>Edge, Raymond S.</t>
        </is>
      </c>
      <c r="N420" t="inlineStr">
        <is>
          <t>Albany, N.Y. : Delmar Publishers, c1998.</t>
        </is>
      </c>
      <c r="O420" t="inlineStr">
        <is>
          <t>1998</t>
        </is>
      </c>
      <c r="P420" t="inlineStr">
        <is>
          <t>2nd ed.</t>
        </is>
      </c>
      <c r="Q420" t="inlineStr">
        <is>
          <t>eng</t>
        </is>
      </c>
      <c r="R420" t="inlineStr">
        <is>
          <t>nyu</t>
        </is>
      </c>
      <c r="T420" t="inlineStr">
        <is>
          <t xml:space="preserve">W  </t>
        </is>
      </c>
      <c r="U420" t="n">
        <v>20</v>
      </c>
      <c r="V420" t="n">
        <v>80</v>
      </c>
      <c r="W420" t="inlineStr">
        <is>
          <t>2005-11-07</t>
        </is>
      </c>
      <c r="X420" t="inlineStr">
        <is>
          <t>2007-03-13</t>
        </is>
      </c>
      <c r="Y420" t="inlineStr">
        <is>
          <t>2001-01-11</t>
        </is>
      </c>
      <c r="Z420" t="inlineStr">
        <is>
          <t>2001-01-11</t>
        </is>
      </c>
      <c r="AA420" t="n">
        <v>316</v>
      </c>
      <c r="AB420" t="n">
        <v>270</v>
      </c>
      <c r="AC420" t="n">
        <v>681</v>
      </c>
      <c r="AD420" t="n">
        <v>2</v>
      </c>
      <c r="AE420" t="n">
        <v>6</v>
      </c>
      <c r="AF420" t="n">
        <v>10</v>
      </c>
      <c r="AG420" t="n">
        <v>21</v>
      </c>
      <c r="AH420" t="n">
        <v>4</v>
      </c>
      <c r="AI420" t="n">
        <v>8</v>
      </c>
      <c r="AJ420" t="n">
        <v>2</v>
      </c>
      <c r="AK420" t="n">
        <v>4</v>
      </c>
      <c r="AL420" t="n">
        <v>7</v>
      </c>
      <c r="AM420" t="n">
        <v>8</v>
      </c>
      <c r="AN420" t="n">
        <v>0</v>
      </c>
      <c r="AO420" t="n">
        <v>4</v>
      </c>
      <c r="AP420" t="n">
        <v>1</v>
      </c>
      <c r="AQ420" t="n">
        <v>1</v>
      </c>
      <c r="AR420" t="inlineStr">
        <is>
          <t>No</t>
        </is>
      </c>
      <c r="AS420" t="inlineStr">
        <is>
          <t>No</t>
        </is>
      </c>
      <c r="AU420">
        <f>HYPERLINK("https://creighton-primo.hosted.exlibrisgroup.com/primo-explore/search?tab=default_tab&amp;search_scope=EVERYTHING&amp;vid=01CRU&amp;lang=en_US&amp;offset=0&amp;query=any,contains,991001571399702656","Catalog Record")</f>
        <v/>
      </c>
      <c r="AV420">
        <f>HYPERLINK("http://www.worldcat.org/oclc/39368340","WorldCat Record")</f>
        <v/>
      </c>
      <c r="AW420" t="inlineStr">
        <is>
          <t>358560:eng</t>
        </is>
      </c>
      <c r="AX420" t="inlineStr">
        <is>
          <t>39368340</t>
        </is>
      </c>
      <c r="AY420" t="inlineStr">
        <is>
          <t>991001571399702656</t>
        </is>
      </c>
      <c r="AZ420" t="inlineStr">
        <is>
          <t>991001571399702656</t>
        </is>
      </c>
      <c r="BA420" t="inlineStr">
        <is>
          <t>2258009610002656</t>
        </is>
      </c>
      <c r="BB420" t="inlineStr">
        <is>
          <t>BOOK</t>
        </is>
      </c>
      <c r="BD420" t="inlineStr">
        <is>
          <t>9780766805187</t>
        </is>
      </c>
      <c r="BE420" t="inlineStr">
        <is>
          <t>30001004231843</t>
        </is>
      </c>
      <c r="BF420" t="inlineStr">
        <is>
          <t>893358721</t>
        </is>
      </c>
    </row>
    <row r="421">
      <c r="A421" t="inlineStr">
        <is>
          <t>No</t>
        </is>
      </c>
      <c r="B421" t="inlineStr">
        <is>
          <t>CUHSL</t>
        </is>
      </c>
      <c r="C421" t="inlineStr">
        <is>
          <t>SHELVES</t>
        </is>
      </c>
      <c r="D421" t="inlineStr">
        <is>
          <t>W50 E23e 1999</t>
        </is>
      </c>
      <c r="E421" t="inlineStr">
        <is>
          <t>0                      W  0050000E  23e         1999</t>
        </is>
      </c>
      <c r="F421" t="inlineStr">
        <is>
          <t>The ethics of health care : a guide for clinical practice / Raymond S. Edge, John Randall Groves.</t>
        </is>
      </c>
      <c r="H421" t="inlineStr">
        <is>
          <t>No</t>
        </is>
      </c>
      <c r="I421" t="inlineStr">
        <is>
          <t>1</t>
        </is>
      </c>
      <c r="J421" t="inlineStr">
        <is>
          <t>Yes</t>
        </is>
      </c>
      <c r="K421" t="inlineStr">
        <is>
          <t>Yes</t>
        </is>
      </c>
      <c r="L421" t="inlineStr">
        <is>
          <t>0</t>
        </is>
      </c>
      <c r="M421" t="inlineStr">
        <is>
          <t>Edge, Raymond S.</t>
        </is>
      </c>
      <c r="N421" t="inlineStr">
        <is>
          <t>Albany, N.Y. : Delmar Publishers, c1998.</t>
        </is>
      </c>
      <c r="O421" t="inlineStr">
        <is>
          <t>1998</t>
        </is>
      </c>
      <c r="P421" t="inlineStr">
        <is>
          <t>2nd ed.</t>
        </is>
      </c>
      <c r="Q421" t="inlineStr">
        <is>
          <t>eng</t>
        </is>
      </c>
      <c r="R421" t="inlineStr">
        <is>
          <t>nyu</t>
        </is>
      </c>
      <c r="T421" t="inlineStr">
        <is>
          <t xml:space="preserve">W  </t>
        </is>
      </c>
      <c r="U421" t="n">
        <v>60</v>
      </c>
      <c r="V421" t="n">
        <v>80</v>
      </c>
      <c r="W421" t="inlineStr">
        <is>
          <t>2007-03-13</t>
        </is>
      </c>
      <c r="X421" t="inlineStr">
        <is>
          <t>2007-03-13</t>
        </is>
      </c>
      <c r="Y421" t="inlineStr">
        <is>
          <t>1998-12-17</t>
        </is>
      </c>
      <c r="Z421" t="inlineStr">
        <is>
          <t>2001-01-11</t>
        </is>
      </c>
      <c r="AA421" t="n">
        <v>316</v>
      </c>
      <c r="AB421" t="n">
        <v>270</v>
      </c>
      <c r="AC421" t="n">
        <v>681</v>
      </c>
      <c r="AD421" t="n">
        <v>2</v>
      </c>
      <c r="AE421" t="n">
        <v>6</v>
      </c>
      <c r="AF421" t="n">
        <v>10</v>
      </c>
      <c r="AG421" t="n">
        <v>21</v>
      </c>
      <c r="AH421" t="n">
        <v>4</v>
      </c>
      <c r="AI421" t="n">
        <v>8</v>
      </c>
      <c r="AJ421" t="n">
        <v>2</v>
      </c>
      <c r="AK421" t="n">
        <v>4</v>
      </c>
      <c r="AL421" t="n">
        <v>7</v>
      </c>
      <c r="AM421" t="n">
        <v>8</v>
      </c>
      <c r="AN421" t="n">
        <v>0</v>
      </c>
      <c r="AO421" t="n">
        <v>4</v>
      </c>
      <c r="AP421" t="n">
        <v>1</v>
      </c>
      <c r="AQ421" t="n">
        <v>1</v>
      </c>
      <c r="AR421" t="inlineStr">
        <is>
          <t>No</t>
        </is>
      </c>
      <c r="AS421" t="inlineStr">
        <is>
          <t>No</t>
        </is>
      </c>
      <c r="AU421">
        <f>HYPERLINK("https://creighton-primo.hosted.exlibrisgroup.com/primo-explore/search?tab=default_tab&amp;search_scope=EVERYTHING&amp;vid=01CRU&amp;lang=en_US&amp;offset=0&amp;query=any,contains,991001571399702656","Catalog Record")</f>
        <v/>
      </c>
      <c r="AV421">
        <f>HYPERLINK("http://www.worldcat.org/oclc/39368340","WorldCat Record")</f>
        <v/>
      </c>
      <c r="AW421" t="inlineStr">
        <is>
          <t>358560:eng</t>
        </is>
      </c>
      <c r="AX421" t="inlineStr">
        <is>
          <t>39368340</t>
        </is>
      </c>
      <c r="AY421" t="inlineStr">
        <is>
          <t>991001571399702656</t>
        </is>
      </c>
      <c r="AZ421" t="inlineStr">
        <is>
          <t>991001571399702656</t>
        </is>
      </c>
      <c r="BA421" t="inlineStr">
        <is>
          <t>2258009610002656</t>
        </is>
      </c>
      <c r="BB421" t="inlineStr">
        <is>
          <t>BOOK</t>
        </is>
      </c>
      <c r="BD421" t="inlineStr">
        <is>
          <t>9780766805187</t>
        </is>
      </c>
      <c r="BE421" t="inlineStr">
        <is>
          <t>30001004036697</t>
        </is>
      </c>
      <c r="BF421" t="inlineStr">
        <is>
          <t>893364273</t>
        </is>
      </c>
    </row>
    <row r="422">
      <c r="A422" t="inlineStr">
        <is>
          <t>No</t>
        </is>
      </c>
      <c r="B422" t="inlineStr">
        <is>
          <t>CUHSL</t>
        </is>
      </c>
      <c r="C422" t="inlineStr">
        <is>
          <t>SHELVES</t>
        </is>
      </c>
      <c r="D422" t="inlineStr">
        <is>
          <t>W 50 E57f 1986</t>
        </is>
      </c>
      <c r="E422" t="inlineStr">
        <is>
          <t>0                      W  0050000E  57f         1986</t>
        </is>
      </c>
      <c r="F422" t="inlineStr">
        <is>
          <t>The foundations of bioethics / by H. Tristram Engelhardt, Jr.</t>
        </is>
      </c>
      <c r="H422" t="inlineStr">
        <is>
          <t>No</t>
        </is>
      </c>
      <c r="I422" t="inlineStr">
        <is>
          <t>1</t>
        </is>
      </c>
      <c r="J422" t="inlineStr">
        <is>
          <t>No</t>
        </is>
      </c>
      <c r="K422" t="inlineStr">
        <is>
          <t>Yes</t>
        </is>
      </c>
      <c r="L422" t="inlineStr">
        <is>
          <t>0</t>
        </is>
      </c>
      <c r="M422" t="inlineStr">
        <is>
          <t>Engelhardt, H. Tristram (Hugo Tristram), Jr., 1941-2018.</t>
        </is>
      </c>
      <c r="N422" t="inlineStr">
        <is>
          <t>New York : Oxford University Press, c1986.</t>
        </is>
      </c>
      <c r="O422" t="inlineStr">
        <is>
          <t>1985</t>
        </is>
      </c>
      <c r="Q422" t="inlineStr">
        <is>
          <t>eng</t>
        </is>
      </c>
      <c r="R422" t="inlineStr">
        <is>
          <t>xxu</t>
        </is>
      </c>
      <c r="T422" t="inlineStr">
        <is>
          <t xml:space="preserve">W  </t>
        </is>
      </c>
      <c r="U422" t="n">
        <v>33</v>
      </c>
      <c r="V422" t="n">
        <v>33</v>
      </c>
      <c r="W422" t="inlineStr">
        <is>
          <t>2005-02-12</t>
        </is>
      </c>
      <c r="X422" t="inlineStr">
        <is>
          <t>2005-02-12</t>
        </is>
      </c>
      <c r="Y422" t="inlineStr">
        <is>
          <t>1987-10-02</t>
        </is>
      </c>
      <c r="Z422" t="inlineStr">
        <is>
          <t>1987-10-02</t>
        </is>
      </c>
      <c r="AA422" t="n">
        <v>1047</v>
      </c>
      <c r="AB422" t="n">
        <v>857</v>
      </c>
      <c r="AC422" t="n">
        <v>1398</v>
      </c>
      <c r="AD422" t="n">
        <v>8</v>
      </c>
      <c r="AE422" t="n">
        <v>14</v>
      </c>
      <c r="AF422" t="n">
        <v>42</v>
      </c>
      <c r="AG422" t="n">
        <v>73</v>
      </c>
      <c r="AH422" t="n">
        <v>8</v>
      </c>
      <c r="AI422" t="n">
        <v>22</v>
      </c>
      <c r="AJ422" t="n">
        <v>6</v>
      </c>
      <c r="AK422" t="n">
        <v>12</v>
      </c>
      <c r="AL422" t="n">
        <v>16</v>
      </c>
      <c r="AM422" t="n">
        <v>28</v>
      </c>
      <c r="AN422" t="n">
        <v>6</v>
      </c>
      <c r="AO422" t="n">
        <v>10</v>
      </c>
      <c r="AP422" t="n">
        <v>10</v>
      </c>
      <c r="AQ422" t="n">
        <v>14</v>
      </c>
      <c r="AR422" t="inlineStr">
        <is>
          <t>No</t>
        </is>
      </c>
      <c r="AS422" t="inlineStr">
        <is>
          <t>Yes</t>
        </is>
      </c>
      <c r="AT422">
        <f>HYPERLINK("http://catalog.hathitrust.org/Record/000662266","HathiTrust Record")</f>
        <v/>
      </c>
      <c r="AU422">
        <f>HYPERLINK("https://creighton-primo.hosted.exlibrisgroup.com/primo-explore/search?tab=default_tab&amp;search_scope=EVERYTHING&amp;vid=01CRU&amp;lang=en_US&amp;offset=0&amp;query=any,contains,991001185069702656","Catalog Record")</f>
        <v/>
      </c>
      <c r="AV422">
        <f>HYPERLINK("http://www.worldcat.org/oclc/11548300","WorldCat Record")</f>
        <v/>
      </c>
      <c r="AW422" t="inlineStr">
        <is>
          <t>4315710:eng</t>
        </is>
      </c>
      <c r="AX422" t="inlineStr">
        <is>
          <t>11548300</t>
        </is>
      </c>
      <c r="AY422" t="inlineStr">
        <is>
          <t>991001185069702656</t>
        </is>
      </c>
      <c r="AZ422" t="inlineStr">
        <is>
          <t>991001185069702656</t>
        </is>
      </c>
      <c r="BA422" t="inlineStr">
        <is>
          <t>2269153890002656</t>
        </is>
      </c>
      <c r="BB422" t="inlineStr">
        <is>
          <t>BOOK</t>
        </is>
      </c>
      <c r="BD422" t="inlineStr">
        <is>
          <t>9780195036084</t>
        </is>
      </c>
      <c r="BE422" t="inlineStr">
        <is>
          <t>30001000309791</t>
        </is>
      </c>
      <c r="BF422" t="inlineStr">
        <is>
          <t>893121251</t>
        </is>
      </c>
    </row>
    <row r="423">
      <c r="A423" t="inlineStr">
        <is>
          <t>No</t>
        </is>
      </c>
      <c r="B423" t="inlineStr">
        <is>
          <t>CUHSL</t>
        </is>
      </c>
      <c r="C423" t="inlineStr">
        <is>
          <t>SHELVES</t>
        </is>
      </c>
      <c r="D423" t="inlineStr">
        <is>
          <t>W50 E8213 2001</t>
        </is>
      </c>
      <c r="E423" t="inlineStr">
        <is>
          <t>0                      W  0050000E  8213        2001</t>
        </is>
      </c>
      <c r="F423" t="inlineStr">
        <is>
          <t>Ethical deliberation in multi-professional health care teams / edited by Hubert Doucet, Jean-Marc Larouche, Kenneth R. Melchin.</t>
        </is>
      </c>
      <c r="H423" t="inlineStr">
        <is>
          <t>No</t>
        </is>
      </c>
      <c r="I423" t="inlineStr">
        <is>
          <t>1</t>
        </is>
      </c>
      <c r="J423" t="inlineStr">
        <is>
          <t>No</t>
        </is>
      </c>
      <c r="K423" t="inlineStr">
        <is>
          <t>No</t>
        </is>
      </c>
      <c r="L423" t="inlineStr">
        <is>
          <t>1</t>
        </is>
      </c>
      <c r="N423" t="inlineStr">
        <is>
          <t>Ottawa : University of Ottawa Press, c2001.</t>
        </is>
      </c>
      <c r="O423" t="inlineStr">
        <is>
          <t>2001</t>
        </is>
      </c>
      <c r="Q423" t="inlineStr">
        <is>
          <t>eng</t>
        </is>
      </c>
      <c r="R423" t="inlineStr">
        <is>
          <t>onc</t>
        </is>
      </c>
      <c r="T423" t="inlineStr">
        <is>
          <t xml:space="preserve">W  </t>
        </is>
      </c>
      <c r="U423" t="n">
        <v>2</v>
      </c>
      <c r="V423" t="n">
        <v>2</v>
      </c>
      <c r="W423" t="inlineStr">
        <is>
          <t>2007-08-22</t>
        </is>
      </c>
      <c r="X423" t="inlineStr">
        <is>
          <t>2007-08-22</t>
        </is>
      </c>
      <c r="Y423" t="inlineStr">
        <is>
          <t>2005-02-03</t>
        </is>
      </c>
      <c r="Z423" t="inlineStr">
        <is>
          <t>2005-02-03</t>
        </is>
      </c>
      <c r="AA423" t="n">
        <v>107</v>
      </c>
      <c r="AB423" t="n">
        <v>64</v>
      </c>
      <c r="AC423" t="n">
        <v>620</v>
      </c>
      <c r="AD423" t="n">
        <v>1</v>
      </c>
      <c r="AE423" t="n">
        <v>12</v>
      </c>
      <c r="AF423" t="n">
        <v>4</v>
      </c>
      <c r="AG423" t="n">
        <v>30</v>
      </c>
      <c r="AH423" t="n">
        <v>0</v>
      </c>
      <c r="AI423" t="n">
        <v>8</v>
      </c>
      <c r="AJ423" t="n">
        <v>2</v>
      </c>
      <c r="AK423" t="n">
        <v>7</v>
      </c>
      <c r="AL423" t="n">
        <v>4</v>
      </c>
      <c r="AM423" t="n">
        <v>9</v>
      </c>
      <c r="AN423" t="n">
        <v>0</v>
      </c>
      <c r="AO423" t="n">
        <v>10</v>
      </c>
      <c r="AP423" t="n">
        <v>0</v>
      </c>
      <c r="AQ423" t="n">
        <v>1</v>
      </c>
      <c r="AR423" t="inlineStr">
        <is>
          <t>No</t>
        </is>
      </c>
      <c r="AS423" t="inlineStr">
        <is>
          <t>No</t>
        </is>
      </c>
      <c r="AU423">
        <f>HYPERLINK("https://creighton-primo.hosted.exlibrisgroup.com/primo-explore/search?tab=default_tab&amp;search_scope=EVERYTHING&amp;vid=01CRU&amp;lang=en_US&amp;offset=0&amp;query=any,contains,991000426169702656","Catalog Record")</f>
        <v/>
      </c>
      <c r="AV423">
        <f>HYPERLINK("http://www.worldcat.org/oclc/46908230","WorldCat Record")</f>
        <v/>
      </c>
      <c r="AW423" t="inlineStr">
        <is>
          <t>766890594:eng</t>
        </is>
      </c>
      <c r="AX423" t="inlineStr">
        <is>
          <t>46908230</t>
        </is>
      </c>
      <c r="AY423" t="inlineStr">
        <is>
          <t>991000426169702656</t>
        </is>
      </c>
      <c r="AZ423" t="inlineStr">
        <is>
          <t>991000426169702656</t>
        </is>
      </c>
      <c r="BA423" t="inlineStr">
        <is>
          <t>2259018930002656</t>
        </is>
      </c>
      <c r="BB423" t="inlineStr">
        <is>
          <t>BOOK</t>
        </is>
      </c>
      <c r="BD423" t="inlineStr">
        <is>
          <t>9780776605258</t>
        </is>
      </c>
      <c r="BE423" t="inlineStr">
        <is>
          <t>30001004927275</t>
        </is>
      </c>
      <c r="BF423" t="inlineStr">
        <is>
          <t>893728418</t>
        </is>
      </c>
    </row>
    <row r="424">
      <c r="A424" t="inlineStr">
        <is>
          <t>No</t>
        </is>
      </c>
      <c r="B424" t="inlineStr">
        <is>
          <t>CUHSL</t>
        </is>
      </c>
      <c r="C424" t="inlineStr">
        <is>
          <t>SHELVES</t>
        </is>
      </c>
      <c r="D424" t="inlineStr">
        <is>
          <t>W 50 E822 1981</t>
        </is>
      </c>
      <c r="E424" t="inlineStr">
        <is>
          <t>0                      W  0050000E  822         1981</t>
        </is>
      </c>
      <c r="F424" t="inlineStr">
        <is>
          <t>Ethical dimensions of clinical medicine / edited by Dennis A. Robbins and Allen R. Dyer.</t>
        </is>
      </c>
      <c r="H424" t="inlineStr">
        <is>
          <t>No</t>
        </is>
      </c>
      <c r="I424" t="inlineStr">
        <is>
          <t>1</t>
        </is>
      </c>
      <c r="J424" t="inlineStr">
        <is>
          <t>No</t>
        </is>
      </c>
      <c r="K424" t="inlineStr">
        <is>
          <t>No</t>
        </is>
      </c>
      <c r="L424" t="inlineStr">
        <is>
          <t>0</t>
        </is>
      </c>
      <c r="N424" t="inlineStr">
        <is>
          <t>Springfield, Ill. : Thomas, c1981.</t>
        </is>
      </c>
      <c r="O424" t="inlineStr">
        <is>
          <t>1981</t>
        </is>
      </c>
      <c r="Q424" t="inlineStr">
        <is>
          <t>eng</t>
        </is>
      </c>
      <c r="R424" t="inlineStr">
        <is>
          <t>xxu</t>
        </is>
      </c>
      <c r="T424" t="inlineStr">
        <is>
          <t xml:space="preserve">W  </t>
        </is>
      </c>
      <c r="U424" t="n">
        <v>3</v>
      </c>
      <c r="V424" t="n">
        <v>3</v>
      </c>
      <c r="W424" t="inlineStr">
        <is>
          <t>2002-12-11</t>
        </is>
      </c>
      <c r="X424" t="inlineStr">
        <is>
          <t>2002-12-11</t>
        </is>
      </c>
      <c r="Y424" t="inlineStr">
        <is>
          <t>1989-04-26</t>
        </is>
      </c>
      <c r="Z424" t="inlineStr">
        <is>
          <t>1989-04-26</t>
        </is>
      </c>
      <c r="AA424" t="n">
        <v>103</v>
      </c>
      <c r="AB424" t="n">
        <v>89</v>
      </c>
      <c r="AC424" t="n">
        <v>89</v>
      </c>
      <c r="AD424" t="n">
        <v>1</v>
      </c>
      <c r="AE424" t="n">
        <v>1</v>
      </c>
      <c r="AF424" t="n">
        <v>5</v>
      </c>
      <c r="AG424" t="n">
        <v>5</v>
      </c>
      <c r="AH424" t="n">
        <v>1</v>
      </c>
      <c r="AI424" t="n">
        <v>1</v>
      </c>
      <c r="AJ424" t="n">
        <v>2</v>
      </c>
      <c r="AK424" t="n">
        <v>2</v>
      </c>
      <c r="AL424" t="n">
        <v>3</v>
      </c>
      <c r="AM424" t="n">
        <v>3</v>
      </c>
      <c r="AN424" t="n">
        <v>0</v>
      </c>
      <c r="AO424" t="n">
        <v>0</v>
      </c>
      <c r="AP424" t="n">
        <v>1</v>
      </c>
      <c r="AQ424" t="n">
        <v>1</v>
      </c>
      <c r="AR424" t="inlineStr">
        <is>
          <t>No</t>
        </is>
      </c>
      <c r="AS424" t="inlineStr">
        <is>
          <t>No</t>
        </is>
      </c>
      <c r="AU424">
        <f>HYPERLINK("https://creighton-primo.hosted.exlibrisgroup.com/primo-explore/search?tab=default_tab&amp;search_scope=EVERYTHING&amp;vid=01CRU&amp;lang=en_US&amp;offset=0&amp;query=any,contains,991001185269702656","Catalog Record")</f>
        <v/>
      </c>
      <c r="AV424">
        <f>HYPERLINK("http://www.worldcat.org/oclc/7278372","WorldCat Record")</f>
        <v/>
      </c>
      <c r="AW424" t="inlineStr">
        <is>
          <t>472376:eng</t>
        </is>
      </c>
      <c r="AX424" t="inlineStr">
        <is>
          <t>7278372</t>
        </is>
      </c>
      <c r="AY424" t="inlineStr">
        <is>
          <t>991001185269702656</t>
        </is>
      </c>
      <c r="AZ424" t="inlineStr">
        <is>
          <t>991001185269702656</t>
        </is>
      </c>
      <c r="BA424" t="inlineStr">
        <is>
          <t>2256463440002656</t>
        </is>
      </c>
      <c r="BB424" t="inlineStr">
        <is>
          <t>BOOK</t>
        </is>
      </c>
      <c r="BD424" t="inlineStr">
        <is>
          <t>9780398045036</t>
        </is>
      </c>
      <c r="BE424" t="inlineStr">
        <is>
          <t>30001000309833</t>
        </is>
      </c>
      <c r="BF424" t="inlineStr">
        <is>
          <t>893821027</t>
        </is>
      </c>
    </row>
    <row r="425">
      <c r="A425" t="inlineStr">
        <is>
          <t>No</t>
        </is>
      </c>
      <c r="B425" t="inlineStr">
        <is>
          <t>CUHSL</t>
        </is>
      </c>
      <c r="C425" t="inlineStr">
        <is>
          <t>SHELVES</t>
        </is>
      </c>
      <c r="D425" t="inlineStr">
        <is>
          <t>W 50 E823 1988</t>
        </is>
      </c>
      <c r="E425" t="inlineStr">
        <is>
          <t>0                      W  0050000E  823         1988</t>
        </is>
      </c>
      <c r="F425" t="inlineStr">
        <is>
          <t>Ethical issues in caring / edited by Gavin Fairbairn, Susan Fairbairn.</t>
        </is>
      </c>
      <c r="H425" t="inlineStr">
        <is>
          <t>No</t>
        </is>
      </c>
      <c r="I425" t="inlineStr">
        <is>
          <t>1</t>
        </is>
      </c>
      <c r="J425" t="inlineStr">
        <is>
          <t>No</t>
        </is>
      </c>
      <c r="K425" t="inlineStr">
        <is>
          <t>No</t>
        </is>
      </c>
      <c r="L425" t="inlineStr">
        <is>
          <t>0</t>
        </is>
      </c>
      <c r="N425" t="inlineStr">
        <is>
          <t>Aldershot ; Brookfield USA : Avebury ; Brookfield, Vt., USA : Gower, c1988.</t>
        </is>
      </c>
      <c r="O425" t="inlineStr">
        <is>
          <t>1988</t>
        </is>
      </c>
      <c r="Q425" t="inlineStr">
        <is>
          <t>eng</t>
        </is>
      </c>
      <c r="R425" t="inlineStr">
        <is>
          <t>enk</t>
        </is>
      </c>
      <c r="T425" t="inlineStr">
        <is>
          <t xml:space="preserve">W  </t>
        </is>
      </c>
      <c r="U425" t="n">
        <v>17</v>
      </c>
      <c r="V425" t="n">
        <v>17</v>
      </c>
      <c r="W425" t="inlineStr">
        <is>
          <t>2000-04-04</t>
        </is>
      </c>
      <c r="X425" t="inlineStr">
        <is>
          <t>2000-04-04</t>
        </is>
      </c>
      <c r="Y425" t="inlineStr">
        <is>
          <t>1989-09-27</t>
        </is>
      </c>
      <c r="Z425" t="inlineStr">
        <is>
          <t>1989-09-27</t>
        </is>
      </c>
      <c r="AA425" t="n">
        <v>206</v>
      </c>
      <c r="AB425" t="n">
        <v>102</v>
      </c>
      <c r="AC425" t="n">
        <v>104</v>
      </c>
      <c r="AD425" t="n">
        <v>1</v>
      </c>
      <c r="AE425" t="n">
        <v>1</v>
      </c>
      <c r="AF425" t="n">
        <v>3</v>
      </c>
      <c r="AG425" t="n">
        <v>3</v>
      </c>
      <c r="AH425" t="n">
        <v>1</v>
      </c>
      <c r="AI425" t="n">
        <v>1</v>
      </c>
      <c r="AJ425" t="n">
        <v>0</v>
      </c>
      <c r="AK425" t="n">
        <v>0</v>
      </c>
      <c r="AL425" t="n">
        <v>2</v>
      </c>
      <c r="AM425" t="n">
        <v>2</v>
      </c>
      <c r="AN425" t="n">
        <v>0</v>
      </c>
      <c r="AO425" t="n">
        <v>0</v>
      </c>
      <c r="AP425" t="n">
        <v>0</v>
      </c>
      <c r="AQ425" t="n">
        <v>0</v>
      </c>
      <c r="AR425" t="inlineStr">
        <is>
          <t>No</t>
        </is>
      </c>
      <c r="AS425" t="inlineStr">
        <is>
          <t>Yes</t>
        </is>
      </c>
      <c r="AT425">
        <f>HYPERLINK("http://catalog.hathitrust.org/Record/001073214","HathiTrust Record")</f>
        <v/>
      </c>
      <c r="AU425">
        <f>HYPERLINK("https://creighton-primo.hosted.exlibrisgroup.com/primo-explore/search?tab=default_tab&amp;search_scope=EVERYTHING&amp;vid=01CRU&amp;lang=en_US&amp;offset=0&amp;query=any,contains,991001323129702656","Catalog Record")</f>
        <v/>
      </c>
      <c r="AV425">
        <f>HYPERLINK("http://www.worldcat.org/oclc/17774651","WorldCat Record")</f>
        <v/>
      </c>
      <c r="AW425" t="inlineStr">
        <is>
          <t>363947416:eng</t>
        </is>
      </c>
      <c r="AX425" t="inlineStr">
        <is>
          <t>17774651</t>
        </is>
      </c>
      <c r="AY425" t="inlineStr">
        <is>
          <t>991001323129702656</t>
        </is>
      </c>
      <c r="AZ425" t="inlineStr">
        <is>
          <t>991001323129702656</t>
        </is>
      </c>
      <c r="BA425" t="inlineStr">
        <is>
          <t>2262613870002656</t>
        </is>
      </c>
      <c r="BB425" t="inlineStr">
        <is>
          <t>BOOK</t>
        </is>
      </c>
      <c r="BD425" t="inlineStr">
        <is>
          <t>9780566052668</t>
        </is>
      </c>
      <c r="BE425" t="inlineStr">
        <is>
          <t>30001001754185</t>
        </is>
      </c>
      <c r="BF425" t="inlineStr">
        <is>
          <t>893816304</t>
        </is>
      </c>
    </row>
    <row r="426">
      <c r="A426" t="inlineStr">
        <is>
          <t>No</t>
        </is>
      </c>
      <c r="B426" t="inlineStr">
        <is>
          <t>CUHSL</t>
        </is>
      </c>
      <c r="C426" t="inlineStr">
        <is>
          <t>SHELVES</t>
        </is>
      </c>
      <c r="D426" t="inlineStr">
        <is>
          <t>W 50 E825 1996</t>
        </is>
      </c>
      <c r="E426" t="inlineStr">
        <is>
          <t>0                      W  0050000E  825         1996</t>
        </is>
      </c>
      <c r="F426" t="inlineStr">
        <is>
          <t>Ethical issues in death and dying / edited by Tom L. Beauchamp, Robert M. Veatch.</t>
        </is>
      </c>
      <c r="H426" t="inlineStr">
        <is>
          <t>No</t>
        </is>
      </c>
      <c r="I426" t="inlineStr">
        <is>
          <t>1</t>
        </is>
      </c>
      <c r="J426" t="inlineStr">
        <is>
          <t>No</t>
        </is>
      </c>
      <c r="K426" t="inlineStr">
        <is>
          <t>No</t>
        </is>
      </c>
      <c r="L426" t="inlineStr">
        <is>
          <t>0</t>
        </is>
      </c>
      <c r="N426" t="inlineStr">
        <is>
          <t>Upper Saddle River, N.J. : Prentice Hall, c1996.</t>
        </is>
      </c>
      <c r="O426" t="inlineStr">
        <is>
          <t>1996</t>
        </is>
      </c>
      <c r="P426" t="inlineStr">
        <is>
          <t>2nd ed.</t>
        </is>
      </c>
      <c r="Q426" t="inlineStr">
        <is>
          <t>eng</t>
        </is>
      </c>
      <c r="R426" t="inlineStr">
        <is>
          <t>nju</t>
        </is>
      </c>
      <c r="T426" t="inlineStr">
        <is>
          <t xml:space="preserve">W  </t>
        </is>
      </c>
      <c r="U426" t="n">
        <v>30</v>
      </c>
      <c r="V426" t="n">
        <v>30</v>
      </c>
      <c r="W426" t="inlineStr">
        <is>
          <t>2004-10-03</t>
        </is>
      </c>
      <c r="X426" t="inlineStr">
        <is>
          <t>2004-10-03</t>
        </is>
      </c>
      <c r="Y426" t="inlineStr">
        <is>
          <t>1997-10-14</t>
        </is>
      </c>
      <c r="Z426" t="inlineStr">
        <is>
          <t>1997-10-14</t>
        </is>
      </c>
      <c r="AA426" t="n">
        <v>389</v>
      </c>
      <c r="AB426" t="n">
        <v>320</v>
      </c>
      <c r="AC426" t="n">
        <v>762</v>
      </c>
      <c r="AD426" t="n">
        <v>2</v>
      </c>
      <c r="AE426" t="n">
        <v>4</v>
      </c>
      <c r="AF426" t="n">
        <v>13</v>
      </c>
      <c r="AG426" t="n">
        <v>34</v>
      </c>
      <c r="AH426" t="n">
        <v>5</v>
      </c>
      <c r="AI426" t="n">
        <v>10</v>
      </c>
      <c r="AJ426" t="n">
        <v>3</v>
      </c>
      <c r="AK426" t="n">
        <v>7</v>
      </c>
      <c r="AL426" t="n">
        <v>10</v>
      </c>
      <c r="AM426" t="n">
        <v>19</v>
      </c>
      <c r="AN426" t="n">
        <v>1</v>
      </c>
      <c r="AO426" t="n">
        <v>2</v>
      </c>
      <c r="AP426" t="n">
        <v>0</v>
      </c>
      <c r="AQ426" t="n">
        <v>5</v>
      </c>
      <c r="AR426" t="inlineStr">
        <is>
          <t>No</t>
        </is>
      </c>
      <c r="AS426" t="inlineStr">
        <is>
          <t>Yes</t>
        </is>
      </c>
      <c r="AT426">
        <f>HYPERLINK("http://catalog.hathitrust.org/Record/003045231","HathiTrust Record")</f>
        <v/>
      </c>
      <c r="AU426">
        <f>HYPERLINK("https://creighton-primo.hosted.exlibrisgroup.com/primo-explore/search?tab=default_tab&amp;search_scope=EVERYTHING&amp;vid=01CRU&amp;lang=en_US&amp;offset=0&amp;query=any,contains,991001139559702656","Catalog Record")</f>
        <v/>
      </c>
      <c r="AV426">
        <f>HYPERLINK("http://www.worldcat.org/oclc/32590768","WorldCat Record")</f>
        <v/>
      </c>
      <c r="AW426" t="inlineStr">
        <is>
          <t>351184767:eng</t>
        </is>
      </c>
      <c r="AX426" t="inlineStr">
        <is>
          <t>32590768</t>
        </is>
      </c>
      <c r="AY426" t="inlineStr">
        <is>
          <t>991001139559702656</t>
        </is>
      </c>
      <c r="AZ426" t="inlineStr">
        <is>
          <t>991001139559702656</t>
        </is>
      </c>
      <c r="BA426" t="inlineStr">
        <is>
          <t>2272076470002656</t>
        </is>
      </c>
      <c r="BB426" t="inlineStr">
        <is>
          <t>BOOK</t>
        </is>
      </c>
      <c r="BD426" t="inlineStr">
        <is>
          <t>9780132827324</t>
        </is>
      </c>
      <c r="BE426" t="inlineStr">
        <is>
          <t>30001003629120</t>
        </is>
      </c>
      <c r="BF426" t="inlineStr">
        <is>
          <t>893460304</t>
        </is>
      </c>
    </row>
    <row r="427">
      <c r="A427" t="inlineStr">
        <is>
          <t>No</t>
        </is>
      </c>
      <c r="B427" t="inlineStr">
        <is>
          <t>CUHSL</t>
        </is>
      </c>
      <c r="C427" t="inlineStr">
        <is>
          <t>SHELVES</t>
        </is>
      </c>
      <c r="D427" t="inlineStr">
        <is>
          <t>W 50 E84 1983</t>
        </is>
      </c>
      <c r="E427" t="inlineStr">
        <is>
          <t>0                      W  0050000E  84          1983</t>
        </is>
      </c>
      <c r="F427" t="inlineStr">
        <is>
          <t>Ethics and animals / edited by Harlan B. Miller and William H. Williams.</t>
        </is>
      </c>
      <c r="H427" t="inlineStr">
        <is>
          <t>No</t>
        </is>
      </c>
      <c r="I427" t="inlineStr">
        <is>
          <t>1</t>
        </is>
      </c>
      <c r="J427" t="inlineStr">
        <is>
          <t>No</t>
        </is>
      </c>
      <c r="K427" t="inlineStr">
        <is>
          <t>No</t>
        </is>
      </c>
      <c r="L427" t="inlineStr">
        <is>
          <t>0</t>
        </is>
      </c>
      <c r="N427" t="inlineStr">
        <is>
          <t>Clifton, N.J. : Humana Press, c1983.</t>
        </is>
      </c>
      <c r="O427" t="inlineStr">
        <is>
          <t>1983</t>
        </is>
      </c>
      <c r="Q427" t="inlineStr">
        <is>
          <t>eng</t>
        </is>
      </c>
      <c r="R427" t="inlineStr">
        <is>
          <t>nju</t>
        </is>
      </c>
      <c r="S427" t="inlineStr">
        <is>
          <t>Contemporary issues in biomedicine, ethics, and society</t>
        </is>
      </c>
      <c r="T427" t="inlineStr">
        <is>
          <t xml:space="preserve">W  </t>
        </is>
      </c>
      <c r="U427" t="n">
        <v>9</v>
      </c>
      <c r="V427" t="n">
        <v>9</v>
      </c>
      <c r="W427" t="inlineStr">
        <is>
          <t>1993-12-07</t>
        </is>
      </c>
      <c r="X427" t="inlineStr">
        <is>
          <t>1993-12-07</t>
        </is>
      </c>
      <c r="Y427" t="inlineStr">
        <is>
          <t>1987-10-02</t>
        </is>
      </c>
      <c r="Z427" t="inlineStr">
        <is>
          <t>1987-10-02</t>
        </is>
      </c>
      <c r="AA427" t="n">
        <v>642</v>
      </c>
      <c r="AB427" t="n">
        <v>519</v>
      </c>
      <c r="AC427" t="n">
        <v>542</v>
      </c>
      <c r="AD427" t="n">
        <v>3</v>
      </c>
      <c r="AE427" t="n">
        <v>3</v>
      </c>
      <c r="AF427" t="n">
        <v>28</v>
      </c>
      <c r="AG427" t="n">
        <v>30</v>
      </c>
      <c r="AH427" t="n">
        <v>10</v>
      </c>
      <c r="AI427" t="n">
        <v>12</v>
      </c>
      <c r="AJ427" t="n">
        <v>9</v>
      </c>
      <c r="AK427" t="n">
        <v>10</v>
      </c>
      <c r="AL427" t="n">
        <v>12</v>
      </c>
      <c r="AM427" t="n">
        <v>13</v>
      </c>
      <c r="AN427" t="n">
        <v>2</v>
      </c>
      <c r="AO427" t="n">
        <v>2</v>
      </c>
      <c r="AP427" t="n">
        <v>2</v>
      </c>
      <c r="AQ427" t="n">
        <v>2</v>
      </c>
      <c r="AR427" t="inlineStr">
        <is>
          <t>No</t>
        </is>
      </c>
      <c r="AS427" t="inlineStr">
        <is>
          <t>Yes</t>
        </is>
      </c>
      <c r="AT427">
        <f>HYPERLINK("http://catalog.hathitrust.org/Record/000454942","HathiTrust Record")</f>
        <v/>
      </c>
      <c r="AU427">
        <f>HYPERLINK("https://creighton-primo.hosted.exlibrisgroup.com/primo-explore/search?tab=default_tab&amp;search_scope=EVERYTHING&amp;vid=01CRU&amp;lang=en_US&amp;offset=0&amp;query=any,contains,991001185149702656","Catalog Record")</f>
        <v/>
      </c>
      <c r="AV427">
        <f>HYPERLINK("http://www.worldcat.org/oclc/9066381","WorldCat Record")</f>
        <v/>
      </c>
      <c r="AW427" t="inlineStr">
        <is>
          <t>355404367:eng</t>
        </is>
      </c>
      <c r="AX427" t="inlineStr">
        <is>
          <t>9066381</t>
        </is>
      </c>
      <c r="AY427" t="inlineStr">
        <is>
          <t>991001185149702656</t>
        </is>
      </c>
      <c r="AZ427" t="inlineStr">
        <is>
          <t>991001185149702656</t>
        </is>
      </c>
      <c r="BA427" t="inlineStr">
        <is>
          <t>2269823620002656</t>
        </is>
      </c>
      <c r="BB427" t="inlineStr">
        <is>
          <t>BOOK</t>
        </is>
      </c>
      <c r="BD427" t="inlineStr">
        <is>
          <t>9780896030367</t>
        </is>
      </c>
      <c r="BE427" t="inlineStr">
        <is>
          <t>30001000309825</t>
        </is>
      </c>
      <c r="BF427" t="inlineStr">
        <is>
          <t>893552213</t>
        </is>
      </c>
    </row>
    <row r="428">
      <c r="A428" t="inlineStr">
        <is>
          <t>No</t>
        </is>
      </c>
      <c r="B428" t="inlineStr">
        <is>
          <t>CUHSL</t>
        </is>
      </c>
      <c r="C428" t="inlineStr">
        <is>
          <t>SHELVES</t>
        </is>
      </c>
      <c r="D428" t="inlineStr">
        <is>
          <t>W 50 E84 1988</t>
        </is>
      </c>
      <c r="E428" t="inlineStr">
        <is>
          <t>0                      W  0050000E  84          1988</t>
        </is>
      </c>
      <c r="F428" t="inlineStr">
        <is>
          <t>The Ethics of care and the ethics of cure : synthesis in chronicity / Jean Watson and Marilyn A. Ray, editors.</t>
        </is>
      </c>
      <c r="H428" t="inlineStr">
        <is>
          <t>No</t>
        </is>
      </c>
      <c r="I428" t="inlineStr">
        <is>
          <t>1</t>
        </is>
      </c>
      <c r="J428" t="inlineStr">
        <is>
          <t>No</t>
        </is>
      </c>
      <c r="K428" t="inlineStr">
        <is>
          <t>No</t>
        </is>
      </c>
      <c r="L428" t="inlineStr">
        <is>
          <t>0</t>
        </is>
      </c>
      <c r="N428" t="inlineStr">
        <is>
          <t>[Denver] : University of Colorado Center for Human Caring ; New York : National League for Nursing, c1988.</t>
        </is>
      </c>
      <c r="O428" t="inlineStr">
        <is>
          <t>1988</t>
        </is>
      </c>
      <c r="Q428" t="inlineStr">
        <is>
          <t>eng</t>
        </is>
      </c>
      <c r="R428" t="inlineStr">
        <is>
          <t>cou</t>
        </is>
      </c>
      <c r="S428" t="inlineStr">
        <is>
          <t>NLN pub. no. 15-2237</t>
        </is>
      </c>
      <c r="T428" t="inlineStr">
        <is>
          <t xml:space="preserve">W  </t>
        </is>
      </c>
      <c r="U428" t="n">
        <v>4</v>
      </c>
      <c r="V428" t="n">
        <v>4</v>
      </c>
      <c r="W428" t="inlineStr">
        <is>
          <t>1998-01-12</t>
        </is>
      </c>
      <c r="X428" t="inlineStr">
        <is>
          <t>1998-01-12</t>
        </is>
      </c>
      <c r="Y428" t="inlineStr">
        <is>
          <t>1988-12-06</t>
        </is>
      </c>
      <c r="Z428" t="inlineStr">
        <is>
          <t>1988-12-06</t>
        </is>
      </c>
      <c r="AA428" t="n">
        <v>378</v>
      </c>
      <c r="AB428" t="n">
        <v>324</v>
      </c>
      <c r="AC428" t="n">
        <v>331</v>
      </c>
      <c r="AD428" t="n">
        <v>5</v>
      </c>
      <c r="AE428" t="n">
        <v>5</v>
      </c>
      <c r="AF428" t="n">
        <v>18</v>
      </c>
      <c r="AG428" t="n">
        <v>18</v>
      </c>
      <c r="AH428" t="n">
        <v>6</v>
      </c>
      <c r="AI428" t="n">
        <v>6</v>
      </c>
      <c r="AJ428" t="n">
        <v>3</v>
      </c>
      <c r="AK428" t="n">
        <v>3</v>
      </c>
      <c r="AL428" t="n">
        <v>8</v>
      </c>
      <c r="AM428" t="n">
        <v>8</v>
      </c>
      <c r="AN428" t="n">
        <v>3</v>
      </c>
      <c r="AO428" t="n">
        <v>3</v>
      </c>
      <c r="AP428" t="n">
        <v>0</v>
      </c>
      <c r="AQ428" t="n">
        <v>0</v>
      </c>
      <c r="AR428" t="inlineStr">
        <is>
          <t>No</t>
        </is>
      </c>
      <c r="AS428" t="inlineStr">
        <is>
          <t>Yes</t>
        </is>
      </c>
      <c r="AT428">
        <f>HYPERLINK("http://catalog.hathitrust.org/Record/002506771","HathiTrust Record")</f>
        <v/>
      </c>
      <c r="AU428">
        <f>HYPERLINK("https://creighton-primo.hosted.exlibrisgroup.com/primo-explore/search?tab=default_tab&amp;search_scope=EVERYTHING&amp;vid=01CRU&amp;lang=en_US&amp;offset=0&amp;query=any,contains,991001107069702656","Catalog Record")</f>
        <v/>
      </c>
      <c r="AV428">
        <f>HYPERLINK("http://www.worldcat.org/oclc/20724249","WorldCat Record")</f>
        <v/>
      </c>
      <c r="AW428" t="inlineStr">
        <is>
          <t>423070696:eng</t>
        </is>
      </c>
      <c r="AX428" t="inlineStr">
        <is>
          <t>20724249</t>
        </is>
      </c>
      <c r="AY428" t="inlineStr">
        <is>
          <t>991001107069702656</t>
        </is>
      </c>
      <c r="AZ428" t="inlineStr">
        <is>
          <t>991001107069702656</t>
        </is>
      </c>
      <c r="BA428" t="inlineStr">
        <is>
          <t>2270709040002656</t>
        </is>
      </c>
      <c r="BB428" t="inlineStr">
        <is>
          <t>BOOK</t>
        </is>
      </c>
      <c r="BD428" t="inlineStr">
        <is>
          <t>9780887374180</t>
        </is>
      </c>
      <c r="BE428" t="inlineStr">
        <is>
          <t>30001001611310</t>
        </is>
      </c>
      <c r="BF428" t="inlineStr">
        <is>
          <t>893557594</t>
        </is>
      </c>
    </row>
    <row r="429">
      <c r="A429" t="inlineStr">
        <is>
          <t>No</t>
        </is>
      </c>
      <c r="B429" t="inlineStr">
        <is>
          <t>CUHSL</t>
        </is>
      </c>
      <c r="C429" t="inlineStr">
        <is>
          <t>SHELVES</t>
        </is>
      </c>
      <c r="D429" t="inlineStr">
        <is>
          <t>W 50 E84 1990</t>
        </is>
      </c>
      <c r="E429" t="inlineStr">
        <is>
          <t>0                      W  0050000E  84          1990</t>
        </is>
      </c>
      <c r="F429" t="inlineStr">
        <is>
          <t>Ethics at the bedside / edited by Charles M. Culver.</t>
        </is>
      </c>
      <c r="H429" t="inlineStr">
        <is>
          <t>No</t>
        </is>
      </c>
      <c r="I429" t="inlineStr">
        <is>
          <t>1</t>
        </is>
      </c>
      <c r="J429" t="inlineStr">
        <is>
          <t>No</t>
        </is>
      </c>
      <c r="K429" t="inlineStr">
        <is>
          <t>No</t>
        </is>
      </c>
      <c r="L429" t="inlineStr">
        <is>
          <t>0</t>
        </is>
      </c>
      <c r="N429" t="inlineStr">
        <is>
          <t>Hanover : University Press of New England, c1990.</t>
        </is>
      </c>
      <c r="O429" t="inlineStr">
        <is>
          <t>1990</t>
        </is>
      </c>
      <c r="Q429" t="inlineStr">
        <is>
          <t>eng</t>
        </is>
      </c>
      <c r="R429" t="inlineStr">
        <is>
          <t>nhu</t>
        </is>
      </c>
      <c r="T429" t="inlineStr">
        <is>
          <t xml:space="preserve">W  </t>
        </is>
      </c>
      <c r="U429" t="n">
        <v>10</v>
      </c>
      <c r="V429" t="n">
        <v>10</v>
      </c>
      <c r="W429" t="inlineStr">
        <is>
          <t>1999-12-01</t>
        </is>
      </c>
      <c r="X429" t="inlineStr">
        <is>
          <t>1999-12-01</t>
        </is>
      </c>
      <c r="Y429" t="inlineStr">
        <is>
          <t>1990-11-16</t>
        </is>
      </c>
      <c r="Z429" t="inlineStr">
        <is>
          <t>1990-11-16</t>
        </is>
      </c>
      <c r="AA429" t="n">
        <v>435</v>
      </c>
      <c r="AB429" t="n">
        <v>398</v>
      </c>
      <c r="AC429" t="n">
        <v>406</v>
      </c>
      <c r="AD429" t="n">
        <v>2</v>
      </c>
      <c r="AE429" t="n">
        <v>2</v>
      </c>
      <c r="AF429" t="n">
        <v>18</v>
      </c>
      <c r="AG429" t="n">
        <v>18</v>
      </c>
      <c r="AH429" t="n">
        <v>5</v>
      </c>
      <c r="AI429" t="n">
        <v>5</v>
      </c>
      <c r="AJ429" t="n">
        <v>2</v>
      </c>
      <c r="AK429" t="n">
        <v>2</v>
      </c>
      <c r="AL429" t="n">
        <v>10</v>
      </c>
      <c r="AM429" t="n">
        <v>10</v>
      </c>
      <c r="AN429" t="n">
        <v>1</v>
      </c>
      <c r="AO429" t="n">
        <v>1</v>
      </c>
      <c r="AP429" t="n">
        <v>4</v>
      </c>
      <c r="AQ429" t="n">
        <v>4</v>
      </c>
      <c r="AR429" t="inlineStr">
        <is>
          <t>No</t>
        </is>
      </c>
      <c r="AS429" t="inlineStr">
        <is>
          <t>Yes</t>
        </is>
      </c>
      <c r="AT429">
        <f>HYPERLINK("http://catalog.hathitrust.org/Record/002487418","HathiTrust Record")</f>
        <v/>
      </c>
      <c r="AU429">
        <f>HYPERLINK("https://creighton-primo.hosted.exlibrisgroup.com/primo-explore/search?tab=default_tab&amp;search_scope=EVERYTHING&amp;vid=01CRU&amp;lang=en_US&amp;offset=0&amp;query=any,contains,991000763199702656","Catalog Record")</f>
        <v/>
      </c>
      <c r="AV429">
        <f>HYPERLINK("http://www.worldcat.org/oclc/21764482","WorldCat Record")</f>
        <v/>
      </c>
      <c r="AW429" t="inlineStr">
        <is>
          <t>375876:eng</t>
        </is>
      </c>
      <c r="AX429" t="inlineStr">
        <is>
          <t>21764482</t>
        </is>
      </c>
      <c r="AY429" t="inlineStr">
        <is>
          <t>991000763199702656</t>
        </is>
      </c>
      <c r="AZ429" t="inlineStr">
        <is>
          <t>991000763199702656</t>
        </is>
      </c>
      <c r="BA429" t="inlineStr">
        <is>
          <t>2263336640002656</t>
        </is>
      </c>
      <c r="BB429" t="inlineStr">
        <is>
          <t>BOOK</t>
        </is>
      </c>
      <c r="BD429" t="inlineStr">
        <is>
          <t>9780874515299</t>
        </is>
      </c>
      <c r="BE429" t="inlineStr">
        <is>
          <t>30001002060533</t>
        </is>
      </c>
      <c r="BF429" t="inlineStr">
        <is>
          <t>893450221</t>
        </is>
      </c>
    </row>
    <row r="430">
      <c r="A430" t="inlineStr">
        <is>
          <t>No</t>
        </is>
      </c>
      <c r="B430" t="inlineStr">
        <is>
          <t>CUHSL</t>
        </is>
      </c>
      <c r="C430" t="inlineStr">
        <is>
          <t>SHELVES</t>
        </is>
      </c>
      <c r="D430" t="inlineStr">
        <is>
          <t>W 50 E842 1989</t>
        </is>
      </c>
      <c r="E430" t="inlineStr">
        <is>
          <t>0                      W  0050000E  842         1989</t>
        </is>
      </c>
      <c r="F430" t="inlineStr">
        <is>
          <t>Ethics consultation in health care / edited by John C. Fletcher, Norman Quist, and Albert R. Jonsen.</t>
        </is>
      </c>
      <c r="H430" t="inlineStr">
        <is>
          <t>No</t>
        </is>
      </c>
      <c r="I430" t="inlineStr">
        <is>
          <t>1</t>
        </is>
      </c>
      <c r="J430" t="inlineStr">
        <is>
          <t>No</t>
        </is>
      </c>
      <c r="K430" t="inlineStr">
        <is>
          <t>No</t>
        </is>
      </c>
      <c r="L430" t="inlineStr">
        <is>
          <t>0</t>
        </is>
      </c>
      <c r="N430" t="inlineStr">
        <is>
          <t>Ann Arbor, Mich. : Health Administration Press, c1989.</t>
        </is>
      </c>
      <c r="O430" t="inlineStr">
        <is>
          <t>1989</t>
        </is>
      </c>
      <c r="Q430" t="inlineStr">
        <is>
          <t>eng</t>
        </is>
      </c>
      <c r="R430" t="inlineStr">
        <is>
          <t>xxu</t>
        </is>
      </c>
      <c r="T430" t="inlineStr">
        <is>
          <t xml:space="preserve">W  </t>
        </is>
      </c>
      <c r="U430" t="n">
        <v>19</v>
      </c>
      <c r="V430" t="n">
        <v>19</v>
      </c>
      <c r="W430" t="inlineStr">
        <is>
          <t>2000-11-06</t>
        </is>
      </c>
      <c r="X430" t="inlineStr">
        <is>
          <t>2000-11-06</t>
        </is>
      </c>
      <c r="Y430" t="inlineStr">
        <is>
          <t>1989-12-06</t>
        </is>
      </c>
      <c r="Z430" t="inlineStr">
        <is>
          <t>1989-12-06</t>
        </is>
      </c>
      <c r="AA430" t="n">
        <v>250</v>
      </c>
      <c r="AB430" t="n">
        <v>225</v>
      </c>
      <c r="AC430" t="n">
        <v>230</v>
      </c>
      <c r="AD430" t="n">
        <v>1</v>
      </c>
      <c r="AE430" t="n">
        <v>1</v>
      </c>
      <c r="AF430" t="n">
        <v>19</v>
      </c>
      <c r="AG430" t="n">
        <v>19</v>
      </c>
      <c r="AH430" t="n">
        <v>6</v>
      </c>
      <c r="AI430" t="n">
        <v>6</v>
      </c>
      <c r="AJ430" t="n">
        <v>2</v>
      </c>
      <c r="AK430" t="n">
        <v>2</v>
      </c>
      <c r="AL430" t="n">
        <v>7</v>
      </c>
      <c r="AM430" t="n">
        <v>7</v>
      </c>
      <c r="AN430" t="n">
        <v>0</v>
      </c>
      <c r="AO430" t="n">
        <v>0</v>
      </c>
      <c r="AP430" t="n">
        <v>9</v>
      </c>
      <c r="AQ430" t="n">
        <v>9</v>
      </c>
      <c r="AR430" t="inlineStr">
        <is>
          <t>No</t>
        </is>
      </c>
      <c r="AS430" t="inlineStr">
        <is>
          <t>No</t>
        </is>
      </c>
      <c r="AU430">
        <f>HYPERLINK("https://creighton-primo.hosted.exlibrisgroup.com/primo-explore/search?tab=default_tab&amp;search_scope=EVERYTHING&amp;vid=01CRU&amp;lang=en_US&amp;offset=0&amp;query=any,contains,991001377599702656","Catalog Record")</f>
        <v/>
      </c>
      <c r="AV430">
        <f>HYPERLINK("http://www.worldcat.org/oclc/19814399","WorldCat Record")</f>
        <v/>
      </c>
      <c r="AW430" t="inlineStr">
        <is>
          <t>432002739:eng</t>
        </is>
      </c>
      <c r="AX430" t="inlineStr">
        <is>
          <t>19814399</t>
        </is>
      </c>
      <c r="AY430" t="inlineStr">
        <is>
          <t>991001377599702656</t>
        </is>
      </c>
      <c r="AZ430" t="inlineStr">
        <is>
          <t>991001377599702656</t>
        </is>
      </c>
      <c r="BA430" t="inlineStr">
        <is>
          <t>2259317610002656</t>
        </is>
      </c>
      <c r="BB430" t="inlineStr">
        <is>
          <t>BOOK</t>
        </is>
      </c>
      <c r="BD430" t="inlineStr">
        <is>
          <t>9780910701396</t>
        </is>
      </c>
      <c r="BE430" t="inlineStr">
        <is>
          <t>30001001798463</t>
        </is>
      </c>
      <c r="BF430" t="inlineStr">
        <is>
          <t>893651999</t>
        </is>
      </c>
    </row>
    <row r="431">
      <c r="A431" t="inlineStr">
        <is>
          <t>No</t>
        </is>
      </c>
      <c r="B431" t="inlineStr">
        <is>
          <t>CUHSL</t>
        </is>
      </c>
      <c r="C431" t="inlineStr">
        <is>
          <t>SHELVES</t>
        </is>
      </c>
      <c r="D431" t="inlineStr">
        <is>
          <t>W 50 E8432 1989</t>
        </is>
      </c>
      <c r="E431" t="inlineStr">
        <is>
          <t>0                      W  0050000E  8432        1989</t>
        </is>
      </c>
      <c r="F431" t="inlineStr">
        <is>
          <t>Ethics in medicine : individual integrity versus demands of society : proceedings of the third world congress / editors, Peter Allebeck, Bengt Jansson.</t>
        </is>
      </c>
      <c r="H431" t="inlineStr">
        <is>
          <t>No</t>
        </is>
      </c>
      <c r="I431" t="inlineStr">
        <is>
          <t>1</t>
        </is>
      </c>
      <c r="J431" t="inlineStr">
        <is>
          <t>No</t>
        </is>
      </c>
      <c r="K431" t="inlineStr">
        <is>
          <t>No</t>
        </is>
      </c>
      <c r="L431" t="inlineStr">
        <is>
          <t>0</t>
        </is>
      </c>
      <c r="N431" t="inlineStr">
        <is>
          <t>New York : Raven Press, c1990.</t>
        </is>
      </c>
      <c r="O431" t="inlineStr">
        <is>
          <t>1990</t>
        </is>
      </c>
      <c r="Q431" t="inlineStr">
        <is>
          <t>eng</t>
        </is>
      </c>
      <c r="R431" t="inlineStr">
        <is>
          <t>xxu</t>
        </is>
      </c>
      <c r="S431" t="inlineStr">
        <is>
          <t>Karolinska Institute Nobel conference series</t>
        </is>
      </c>
      <c r="T431" t="inlineStr">
        <is>
          <t xml:space="preserve">W  </t>
        </is>
      </c>
      <c r="U431" t="n">
        <v>29</v>
      </c>
      <c r="V431" t="n">
        <v>29</v>
      </c>
      <c r="W431" t="inlineStr">
        <is>
          <t>2000-08-30</t>
        </is>
      </c>
      <c r="X431" t="inlineStr">
        <is>
          <t>2000-08-30</t>
        </is>
      </c>
      <c r="Y431" t="inlineStr">
        <is>
          <t>1990-11-02</t>
        </is>
      </c>
      <c r="Z431" t="inlineStr">
        <is>
          <t>1990-11-02</t>
        </is>
      </c>
      <c r="AA431" t="n">
        <v>135</v>
      </c>
      <c r="AB431" t="n">
        <v>102</v>
      </c>
      <c r="AC431" t="n">
        <v>104</v>
      </c>
      <c r="AD431" t="n">
        <v>1</v>
      </c>
      <c r="AE431" t="n">
        <v>1</v>
      </c>
      <c r="AF431" t="n">
        <v>5</v>
      </c>
      <c r="AG431" t="n">
        <v>5</v>
      </c>
      <c r="AH431" t="n">
        <v>0</v>
      </c>
      <c r="AI431" t="n">
        <v>0</v>
      </c>
      <c r="AJ431" t="n">
        <v>1</v>
      </c>
      <c r="AK431" t="n">
        <v>1</v>
      </c>
      <c r="AL431" t="n">
        <v>5</v>
      </c>
      <c r="AM431" t="n">
        <v>5</v>
      </c>
      <c r="AN431" t="n">
        <v>0</v>
      </c>
      <c r="AO431" t="n">
        <v>0</v>
      </c>
      <c r="AP431" t="n">
        <v>0</v>
      </c>
      <c r="AQ431" t="n">
        <v>0</v>
      </c>
      <c r="AR431" t="inlineStr">
        <is>
          <t>No</t>
        </is>
      </c>
      <c r="AS431" t="inlineStr">
        <is>
          <t>Yes</t>
        </is>
      </c>
      <c r="AT431">
        <f>HYPERLINK("http://catalog.hathitrust.org/Record/002171086","HathiTrust Record")</f>
        <v/>
      </c>
      <c r="AU431">
        <f>HYPERLINK("https://creighton-primo.hosted.exlibrisgroup.com/primo-explore/search?tab=default_tab&amp;search_scope=EVERYTHING&amp;vid=01CRU&amp;lang=en_US&amp;offset=0&amp;query=any,contains,991000774799702656","Catalog Record")</f>
        <v/>
      </c>
      <c r="AV431">
        <f>HYPERLINK("http://www.worldcat.org/oclc/21296731","WorldCat Record")</f>
        <v/>
      </c>
      <c r="AW431" t="inlineStr">
        <is>
          <t>889901859:eng</t>
        </is>
      </c>
      <c r="AX431" t="inlineStr">
        <is>
          <t>21296731</t>
        </is>
      </c>
      <c r="AY431" t="inlineStr">
        <is>
          <t>991000774799702656</t>
        </is>
      </c>
      <c r="AZ431" t="inlineStr">
        <is>
          <t>991000774799702656</t>
        </is>
      </c>
      <c r="BA431" t="inlineStr">
        <is>
          <t>2271100140002656</t>
        </is>
      </c>
      <c r="BB431" t="inlineStr">
        <is>
          <t>BOOK</t>
        </is>
      </c>
      <c r="BD431" t="inlineStr">
        <is>
          <t>9780881676600</t>
        </is>
      </c>
      <c r="BE431" t="inlineStr">
        <is>
          <t>30001002062927</t>
        </is>
      </c>
      <c r="BF431" t="inlineStr">
        <is>
          <t>893651563</t>
        </is>
      </c>
    </row>
    <row r="432">
      <c r="A432" t="inlineStr">
        <is>
          <t>No</t>
        </is>
      </c>
      <c r="B432" t="inlineStr">
        <is>
          <t>CUHSL</t>
        </is>
      </c>
      <c r="C432" t="inlineStr">
        <is>
          <t>SHELVES</t>
        </is>
      </c>
      <c r="D432" t="inlineStr">
        <is>
          <t>W 50 E848 1988</t>
        </is>
      </c>
      <c r="E432" t="inlineStr">
        <is>
          <t>0                      W  0050000E  848         1988</t>
        </is>
      </c>
      <c r="F432" t="inlineStr">
        <is>
          <t>Ethics, technology, and medicine / edited by David Braine and Harry Lesser.</t>
        </is>
      </c>
      <c r="H432" t="inlineStr">
        <is>
          <t>No</t>
        </is>
      </c>
      <c r="I432" t="inlineStr">
        <is>
          <t>1</t>
        </is>
      </c>
      <c r="J432" t="inlineStr">
        <is>
          <t>No</t>
        </is>
      </c>
      <c r="K432" t="inlineStr">
        <is>
          <t>No</t>
        </is>
      </c>
      <c r="L432" t="inlineStr">
        <is>
          <t>0</t>
        </is>
      </c>
      <c r="N432" t="inlineStr">
        <is>
          <t>Aldershot ; Brookfield, USA : Avebury, c1988.</t>
        </is>
      </c>
      <c r="O432" t="inlineStr">
        <is>
          <t>1988</t>
        </is>
      </c>
      <c r="Q432" t="inlineStr">
        <is>
          <t>eng</t>
        </is>
      </c>
      <c r="R432" t="inlineStr">
        <is>
          <t>enk</t>
        </is>
      </c>
      <c r="S432" t="inlineStr">
        <is>
          <t>Avebury series in philosophy</t>
        </is>
      </c>
      <c r="T432" t="inlineStr">
        <is>
          <t xml:space="preserve">W  </t>
        </is>
      </c>
      <c r="U432" t="n">
        <v>8</v>
      </c>
      <c r="V432" t="n">
        <v>8</v>
      </c>
      <c r="W432" t="inlineStr">
        <is>
          <t>1999-04-01</t>
        </is>
      </c>
      <c r="X432" t="inlineStr">
        <is>
          <t>1999-04-01</t>
        </is>
      </c>
      <c r="Y432" t="inlineStr">
        <is>
          <t>1989-09-27</t>
        </is>
      </c>
      <c r="Z432" t="inlineStr">
        <is>
          <t>1989-09-27</t>
        </is>
      </c>
      <c r="AA432" t="n">
        <v>181</v>
      </c>
      <c r="AB432" t="n">
        <v>102</v>
      </c>
      <c r="AC432" t="n">
        <v>104</v>
      </c>
      <c r="AD432" t="n">
        <v>1</v>
      </c>
      <c r="AE432" t="n">
        <v>1</v>
      </c>
      <c r="AF432" t="n">
        <v>7</v>
      </c>
      <c r="AG432" t="n">
        <v>7</v>
      </c>
      <c r="AH432" t="n">
        <v>4</v>
      </c>
      <c r="AI432" t="n">
        <v>4</v>
      </c>
      <c r="AJ432" t="n">
        <v>1</v>
      </c>
      <c r="AK432" t="n">
        <v>1</v>
      </c>
      <c r="AL432" t="n">
        <v>6</v>
      </c>
      <c r="AM432" t="n">
        <v>6</v>
      </c>
      <c r="AN432" t="n">
        <v>0</v>
      </c>
      <c r="AO432" t="n">
        <v>0</v>
      </c>
      <c r="AP432" t="n">
        <v>0</v>
      </c>
      <c r="AQ432" t="n">
        <v>0</v>
      </c>
      <c r="AR432" t="inlineStr">
        <is>
          <t>No</t>
        </is>
      </c>
      <c r="AS432" t="inlineStr">
        <is>
          <t>Yes</t>
        </is>
      </c>
      <c r="AT432">
        <f>HYPERLINK("http://catalog.hathitrust.org/Record/001548533","HathiTrust Record")</f>
        <v/>
      </c>
      <c r="AU432">
        <f>HYPERLINK("https://creighton-primo.hosted.exlibrisgroup.com/primo-explore/search?tab=default_tab&amp;search_scope=EVERYTHING&amp;vid=01CRU&amp;lang=en_US&amp;offset=0&amp;query=any,contains,991001323079702656","Catalog Record")</f>
        <v/>
      </c>
      <c r="AV432">
        <f>HYPERLINK("http://www.worldcat.org/oclc/17805771","WorldCat Record")</f>
        <v/>
      </c>
      <c r="AW432" t="inlineStr">
        <is>
          <t>351776609:eng</t>
        </is>
      </c>
      <c r="AX432" t="inlineStr">
        <is>
          <t>17805771</t>
        </is>
      </c>
      <c r="AY432" t="inlineStr">
        <is>
          <t>991001323079702656</t>
        </is>
      </c>
      <c r="AZ432" t="inlineStr">
        <is>
          <t>991001323079702656</t>
        </is>
      </c>
      <c r="BA432" t="inlineStr">
        <is>
          <t>2261823840002656</t>
        </is>
      </c>
      <c r="BB432" t="inlineStr">
        <is>
          <t>BOOK</t>
        </is>
      </c>
      <c r="BD432" t="inlineStr">
        <is>
          <t>9780566052491</t>
        </is>
      </c>
      <c r="BE432" t="inlineStr">
        <is>
          <t>30001001754169</t>
        </is>
      </c>
      <c r="BF432" t="inlineStr">
        <is>
          <t>893541254</t>
        </is>
      </c>
    </row>
    <row r="433">
      <c r="A433" t="inlineStr">
        <is>
          <t>No</t>
        </is>
      </c>
      <c r="B433" t="inlineStr">
        <is>
          <t>CUHSL</t>
        </is>
      </c>
      <c r="C433" t="inlineStr">
        <is>
          <t>SHELVES</t>
        </is>
      </c>
      <c r="D433" t="inlineStr">
        <is>
          <t>W 50 E84c 1983</t>
        </is>
      </c>
      <c r="E433" t="inlineStr">
        <is>
          <t>0                      W  0050000E  84c         1983</t>
        </is>
      </c>
      <c r="F433" t="inlineStr">
        <is>
          <t>Ethics committees : a challenge for Catholic health care / edited by Margaret John Kelly and Donald G. McCarthy.</t>
        </is>
      </c>
      <c r="H433" t="inlineStr">
        <is>
          <t>No</t>
        </is>
      </c>
      <c r="I433" t="inlineStr">
        <is>
          <t>1</t>
        </is>
      </c>
      <c r="J433" t="inlineStr">
        <is>
          <t>No</t>
        </is>
      </c>
      <c r="K433" t="inlineStr">
        <is>
          <t>No</t>
        </is>
      </c>
      <c r="L433" t="inlineStr">
        <is>
          <t>0</t>
        </is>
      </c>
      <c r="N433" t="inlineStr">
        <is>
          <t>St. Louis, MO : Pope John XXIII Medical-Moral Research and Education Center : Catholic Health Association of the United States, c1984.</t>
        </is>
      </c>
      <c r="O433" t="inlineStr">
        <is>
          <t>1984</t>
        </is>
      </c>
      <c r="Q433" t="inlineStr">
        <is>
          <t>eng</t>
        </is>
      </c>
      <c r="R433" t="inlineStr">
        <is>
          <t>mou</t>
        </is>
      </c>
      <c r="T433" t="inlineStr">
        <is>
          <t xml:space="preserve">W  </t>
        </is>
      </c>
      <c r="U433" t="n">
        <v>6</v>
      </c>
      <c r="V433" t="n">
        <v>6</v>
      </c>
      <c r="W433" t="inlineStr">
        <is>
          <t>2000-04-02</t>
        </is>
      </c>
      <c r="X433" t="inlineStr">
        <is>
          <t>2000-04-02</t>
        </is>
      </c>
      <c r="Y433" t="inlineStr">
        <is>
          <t>1987-10-07</t>
        </is>
      </c>
      <c r="Z433" t="inlineStr">
        <is>
          <t>1987-10-07</t>
        </is>
      </c>
      <c r="AA433" t="n">
        <v>129</v>
      </c>
      <c r="AB433" t="n">
        <v>119</v>
      </c>
      <c r="AC433" t="n">
        <v>121</v>
      </c>
      <c r="AD433" t="n">
        <v>2</v>
      </c>
      <c r="AE433" t="n">
        <v>2</v>
      </c>
      <c r="AF433" t="n">
        <v>13</v>
      </c>
      <c r="AG433" t="n">
        <v>13</v>
      </c>
      <c r="AH433" t="n">
        <v>3</v>
      </c>
      <c r="AI433" t="n">
        <v>3</v>
      </c>
      <c r="AJ433" t="n">
        <v>1</v>
      </c>
      <c r="AK433" t="n">
        <v>1</v>
      </c>
      <c r="AL433" t="n">
        <v>10</v>
      </c>
      <c r="AM433" t="n">
        <v>10</v>
      </c>
      <c r="AN433" t="n">
        <v>0</v>
      </c>
      <c r="AO433" t="n">
        <v>0</v>
      </c>
      <c r="AP433" t="n">
        <v>2</v>
      </c>
      <c r="AQ433" t="n">
        <v>2</v>
      </c>
      <c r="AR433" t="inlineStr">
        <is>
          <t>No</t>
        </is>
      </c>
      <c r="AS433" t="inlineStr">
        <is>
          <t>Yes</t>
        </is>
      </c>
      <c r="AT433">
        <f>HYPERLINK("http://catalog.hathitrust.org/Record/000332030","HathiTrust Record")</f>
        <v/>
      </c>
      <c r="AU433">
        <f>HYPERLINK("https://creighton-primo.hosted.exlibrisgroup.com/primo-explore/search?tab=default_tab&amp;search_scope=EVERYTHING&amp;vid=01CRU&amp;lang=en_US&amp;offset=0&amp;query=any,contains,991001184549702656","Catalog Record")</f>
        <v/>
      </c>
      <c r="AV433">
        <f>HYPERLINK("http://www.worldcat.org/oclc/10780872","WorldCat Record")</f>
        <v/>
      </c>
      <c r="AW433" t="inlineStr">
        <is>
          <t>3589937:eng</t>
        </is>
      </c>
      <c r="AX433" t="inlineStr">
        <is>
          <t>10780872</t>
        </is>
      </c>
      <c r="AY433" t="inlineStr">
        <is>
          <t>991001184549702656</t>
        </is>
      </c>
      <c r="AZ433" t="inlineStr">
        <is>
          <t>991001184549702656</t>
        </is>
      </c>
      <c r="BA433" t="inlineStr">
        <is>
          <t>2255176000002656</t>
        </is>
      </c>
      <c r="BB433" t="inlineStr">
        <is>
          <t>BOOK</t>
        </is>
      </c>
      <c r="BD433" t="inlineStr">
        <is>
          <t>9780871250964</t>
        </is>
      </c>
      <c r="BE433" t="inlineStr">
        <is>
          <t>30001000309684</t>
        </is>
      </c>
      <c r="BF433" t="inlineStr">
        <is>
          <t>893148950</t>
        </is>
      </c>
    </row>
    <row r="434">
      <c r="A434" t="inlineStr">
        <is>
          <t>No</t>
        </is>
      </c>
      <c r="B434" t="inlineStr">
        <is>
          <t>CUHSL</t>
        </is>
      </c>
      <c r="C434" t="inlineStr">
        <is>
          <t>SHELVES</t>
        </is>
      </c>
      <c r="D434" t="inlineStr">
        <is>
          <t>W50 E86 2005</t>
        </is>
      </c>
      <c r="E434" t="inlineStr">
        <is>
          <t>0                      W  0050000E  86          2005</t>
        </is>
      </c>
      <c r="F434" t="inlineStr">
        <is>
          <t>Expanding horizons in bioethics / edited by Arthur W. Galston and Christiana Z. Peppard.</t>
        </is>
      </c>
      <c r="H434" t="inlineStr">
        <is>
          <t>No</t>
        </is>
      </c>
      <c r="I434" t="inlineStr">
        <is>
          <t>1</t>
        </is>
      </c>
      <c r="J434" t="inlineStr">
        <is>
          <t>No</t>
        </is>
      </c>
      <c r="K434" t="inlineStr">
        <is>
          <t>No</t>
        </is>
      </c>
      <c r="L434" t="inlineStr">
        <is>
          <t>1</t>
        </is>
      </c>
      <c r="N434" t="inlineStr">
        <is>
          <t>Dordrecht : Springer, 2005.</t>
        </is>
      </c>
      <c r="O434" t="inlineStr">
        <is>
          <t>2005</t>
        </is>
      </c>
      <c r="Q434" t="inlineStr">
        <is>
          <t>eng</t>
        </is>
      </c>
      <c r="R434" t="inlineStr">
        <is>
          <t xml:space="preserve">ne </t>
        </is>
      </c>
      <c r="T434" t="inlineStr">
        <is>
          <t xml:space="preserve">W  </t>
        </is>
      </c>
      <c r="U434" t="n">
        <v>0</v>
      </c>
      <c r="V434" t="n">
        <v>0</v>
      </c>
      <c r="W434" t="inlineStr">
        <is>
          <t>2006-03-17</t>
        </is>
      </c>
      <c r="X434" t="inlineStr">
        <is>
          <t>2006-03-17</t>
        </is>
      </c>
      <c r="Y434" t="inlineStr">
        <is>
          <t>2006-03-13</t>
        </is>
      </c>
      <c r="Z434" t="inlineStr">
        <is>
          <t>2006-03-13</t>
        </is>
      </c>
      <c r="AA434" t="n">
        <v>136</v>
      </c>
      <c r="AB434" t="n">
        <v>104</v>
      </c>
      <c r="AC434" t="n">
        <v>346</v>
      </c>
      <c r="AD434" t="n">
        <v>2</v>
      </c>
      <c r="AE434" t="n">
        <v>3</v>
      </c>
      <c r="AF434" t="n">
        <v>4</v>
      </c>
      <c r="AG434" t="n">
        <v>9</v>
      </c>
      <c r="AH434" t="n">
        <v>0</v>
      </c>
      <c r="AI434" t="n">
        <v>3</v>
      </c>
      <c r="AJ434" t="n">
        <v>1</v>
      </c>
      <c r="AK434" t="n">
        <v>2</v>
      </c>
      <c r="AL434" t="n">
        <v>2</v>
      </c>
      <c r="AM434" t="n">
        <v>6</v>
      </c>
      <c r="AN434" t="n">
        <v>1</v>
      </c>
      <c r="AO434" t="n">
        <v>1</v>
      </c>
      <c r="AP434" t="n">
        <v>1</v>
      </c>
      <c r="AQ434" t="n">
        <v>1</v>
      </c>
      <c r="AR434" t="inlineStr">
        <is>
          <t>No</t>
        </is>
      </c>
      <c r="AS434" t="inlineStr">
        <is>
          <t>No</t>
        </is>
      </c>
      <c r="AU434">
        <f>HYPERLINK("https://creighton-primo.hosted.exlibrisgroup.com/primo-explore/search?tab=default_tab&amp;search_scope=EVERYTHING&amp;vid=01CRU&amp;lang=en_US&amp;offset=0&amp;query=any,contains,991000466739702656","Catalog Record")</f>
        <v/>
      </c>
      <c r="AV434">
        <f>HYPERLINK("http://www.worldcat.org/oclc/60519951","WorldCat Record")</f>
        <v/>
      </c>
      <c r="AW434" t="inlineStr">
        <is>
          <t>1083022584:eng</t>
        </is>
      </c>
      <c r="AX434" t="inlineStr">
        <is>
          <t>60519951</t>
        </is>
      </c>
      <c r="AY434" t="inlineStr">
        <is>
          <t>991000466739702656</t>
        </is>
      </c>
      <c r="AZ434" t="inlineStr">
        <is>
          <t>991000466739702656</t>
        </is>
      </c>
      <c r="BA434" t="inlineStr">
        <is>
          <t>2269142700002656</t>
        </is>
      </c>
      <c r="BB434" t="inlineStr">
        <is>
          <t>BOOK</t>
        </is>
      </c>
      <c r="BD434" t="inlineStr">
        <is>
          <t>9781402030611</t>
        </is>
      </c>
      <c r="BE434" t="inlineStr">
        <is>
          <t>30001004913143</t>
        </is>
      </c>
      <c r="BF434" t="inlineStr">
        <is>
          <t>893639248</t>
        </is>
      </c>
    </row>
    <row r="435">
      <c r="A435" t="inlineStr">
        <is>
          <t>No</t>
        </is>
      </c>
      <c r="B435" t="inlineStr">
        <is>
          <t>CUHSL</t>
        </is>
      </c>
      <c r="C435" t="inlineStr">
        <is>
          <t>SHELVES</t>
        </is>
      </c>
      <c r="D435" t="inlineStr">
        <is>
          <t>W 50 E902 1984</t>
        </is>
      </c>
      <c r="E435" t="inlineStr">
        <is>
          <t>0                      W  0050000E  902         1984</t>
        </is>
      </c>
      <c r="F435" t="inlineStr">
        <is>
          <t>Euthanasia and the newborn : conflicts regarding saving lives / edited by Richard C. McMillan, H. Tristram Engelhardt, Jr., and Stuart F. Spicker.</t>
        </is>
      </c>
      <c r="H435" t="inlineStr">
        <is>
          <t>No</t>
        </is>
      </c>
      <c r="I435" t="inlineStr">
        <is>
          <t>1</t>
        </is>
      </c>
      <c r="J435" t="inlineStr">
        <is>
          <t>Yes</t>
        </is>
      </c>
      <c r="K435" t="inlineStr">
        <is>
          <t>No</t>
        </is>
      </c>
      <c r="L435" t="inlineStr">
        <is>
          <t>0</t>
        </is>
      </c>
      <c r="N435" t="inlineStr">
        <is>
          <t>Dordrecht ; Boston : D. Reidel Pub. Co. ; Norwell, MA, U.S.A. : Sold and distributed in the U.S.A. and Canada by Kluwer Academic Publishers, c1987.</t>
        </is>
      </c>
      <c r="O435" t="inlineStr">
        <is>
          <t>1987</t>
        </is>
      </c>
      <c r="Q435" t="inlineStr">
        <is>
          <t>eng</t>
        </is>
      </c>
      <c r="R435" t="inlineStr">
        <is>
          <t xml:space="preserve">ne </t>
        </is>
      </c>
      <c r="S435" t="inlineStr">
        <is>
          <t>Philosophy and medicine ; v. 24</t>
        </is>
      </c>
      <c r="T435" t="inlineStr">
        <is>
          <t xml:space="preserve">W  </t>
        </is>
      </c>
      <c r="U435" t="n">
        <v>4</v>
      </c>
      <c r="V435" t="n">
        <v>4</v>
      </c>
      <c r="W435" t="inlineStr">
        <is>
          <t>1997-03-18</t>
        </is>
      </c>
      <c r="X435" t="inlineStr">
        <is>
          <t>1997-03-18</t>
        </is>
      </c>
      <c r="Y435" t="inlineStr">
        <is>
          <t>1989-07-10</t>
        </is>
      </c>
      <c r="Z435" t="inlineStr">
        <is>
          <t>1989-07-10</t>
        </is>
      </c>
      <c r="AA435" t="n">
        <v>527</v>
      </c>
      <c r="AB435" t="n">
        <v>388</v>
      </c>
      <c r="AC435" t="n">
        <v>388</v>
      </c>
      <c r="AD435" t="n">
        <v>5</v>
      </c>
      <c r="AE435" t="n">
        <v>5</v>
      </c>
      <c r="AF435" t="n">
        <v>36</v>
      </c>
      <c r="AG435" t="n">
        <v>36</v>
      </c>
      <c r="AH435" t="n">
        <v>9</v>
      </c>
      <c r="AI435" t="n">
        <v>9</v>
      </c>
      <c r="AJ435" t="n">
        <v>7</v>
      </c>
      <c r="AK435" t="n">
        <v>7</v>
      </c>
      <c r="AL435" t="n">
        <v>17</v>
      </c>
      <c r="AM435" t="n">
        <v>17</v>
      </c>
      <c r="AN435" t="n">
        <v>2</v>
      </c>
      <c r="AO435" t="n">
        <v>2</v>
      </c>
      <c r="AP435" t="n">
        <v>9</v>
      </c>
      <c r="AQ435" t="n">
        <v>9</v>
      </c>
      <c r="AR435" t="inlineStr">
        <is>
          <t>No</t>
        </is>
      </c>
      <c r="AS435" t="inlineStr">
        <is>
          <t>No</t>
        </is>
      </c>
      <c r="AU435">
        <f>HYPERLINK("https://creighton-primo.hosted.exlibrisgroup.com/primo-explore/search?tab=default_tab&amp;search_scope=EVERYTHING&amp;vid=01CRU&amp;lang=en_US&amp;offset=0&amp;query=any,contains,991001185319702656","Catalog Record")</f>
        <v/>
      </c>
      <c r="AV435">
        <f>HYPERLINK("http://www.worldcat.org/oclc/15084710","WorldCat Record")</f>
        <v/>
      </c>
      <c r="AW435" t="inlineStr">
        <is>
          <t>836702874:eng</t>
        </is>
      </c>
      <c r="AX435" t="inlineStr">
        <is>
          <t>15084710</t>
        </is>
      </c>
      <c r="AY435" t="inlineStr">
        <is>
          <t>991001185319702656</t>
        </is>
      </c>
      <c r="AZ435" t="inlineStr">
        <is>
          <t>991001185319702656</t>
        </is>
      </c>
      <c r="BA435" t="inlineStr">
        <is>
          <t>2257093680002656</t>
        </is>
      </c>
      <c r="BB435" t="inlineStr">
        <is>
          <t>BOOK</t>
        </is>
      </c>
      <c r="BD435" t="inlineStr">
        <is>
          <t>9789027722997</t>
        </is>
      </c>
      <c r="BE435" t="inlineStr">
        <is>
          <t>30001000309866</t>
        </is>
      </c>
      <c r="BF435" t="inlineStr">
        <is>
          <t>893161747</t>
        </is>
      </c>
    </row>
    <row r="436">
      <c r="A436" t="inlineStr">
        <is>
          <t>No</t>
        </is>
      </c>
      <c r="B436" t="inlineStr">
        <is>
          <t>CUHSL</t>
        </is>
      </c>
      <c r="C436" t="inlineStr">
        <is>
          <t>SHELVES</t>
        </is>
      </c>
      <c r="D436" t="inlineStr">
        <is>
          <t>W 50 E91 1988</t>
        </is>
      </c>
      <c r="E436" t="inlineStr">
        <is>
          <t>0                      W  0050000E  91          1988</t>
        </is>
      </c>
      <c r="F436" t="inlineStr">
        <is>
          <t>Euthanasia of the companion animal : the impact on pet owners, veterinarians, and society / edited by William J. Kay ... [et. al.].</t>
        </is>
      </c>
      <c r="H436" t="inlineStr">
        <is>
          <t>No</t>
        </is>
      </c>
      <c r="I436" t="inlineStr">
        <is>
          <t>1</t>
        </is>
      </c>
      <c r="J436" t="inlineStr">
        <is>
          <t>No</t>
        </is>
      </c>
      <c r="K436" t="inlineStr">
        <is>
          <t>No</t>
        </is>
      </c>
      <c r="L436" t="inlineStr">
        <is>
          <t>0</t>
        </is>
      </c>
      <c r="N436" t="inlineStr">
        <is>
          <t>Philadelphia, Pa. : The Charles Press, Publishers, c1988</t>
        </is>
      </c>
      <c r="O436" t="inlineStr">
        <is>
          <t>1988</t>
        </is>
      </c>
      <c r="Q436" t="inlineStr">
        <is>
          <t>eng</t>
        </is>
      </c>
      <c r="R436" t="inlineStr">
        <is>
          <t>pau</t>
        </is>
      </c>
      <c r="T436" t="inlineStr">
        <is>
          <t xml:space="preserve">W  </t>
        </is>
      </c>
      <c r="U436" t="n">
        <v>2</v>
      </c>
      <c r="V436" t="n">
        <v>2</v>
      </c>
      <c r="W436" t="inlineStr">
        <is>
          <t>1989-02-22</t>
        </is>
      </c>
      <c r="X436" t="inlineStr">
        <is>
          <t>1989-02-22</t>
        </is>
      </c>
      <c r="Y436" t="inlineStr">
        <is>
          <t>1988-12-14</t>
        </is>
      </c>
      <c r="Z436" t="inlineStr">
        <is>
          <t>1988-12-14</t>
        </is>
      </c>
      <c r="AA436" t="n">
        <v>130</v>
      </c>
      <c r="AB436" t="n">
        <v>103</v>
      </c>
      <c r="AC436" t="n">
        <v>110</v>
      </c>
      <c r="AD436" t="n">
        <v>3</v>
      </c>
      <c r="AE436" t="n">
        <v>3</v>
      </c>
      <c r="AF436" t="n">
        <v>4</v>
      </c>
      <c r="AG436" t="n">
        <v>4</v>
      </c>
      <c r="AH436" t="n">
        <v>2</v>
      </c>
      <c r="AI436" t="n">
        <v>2</v>
      </c>
      <c r="AJ436" t="n">
        <v>0</v>
      </c>
      <c r="AK436" t="n">
        <v>0</v>
      </c>
      <c r="AL436" t="n">
        <v>0</v>
      </c>
      <c r="AM436" t="n">
        <v>0</v>
      </c>
      <c r="AN436" t="n">
        <v>2</v>
      </c>
      <c r="AO436" t="n">
        <v>2</v>
      </c>
      <c r="AP436" t="n">
        <v>0</v>
      </c>
      <c r="AQ436" t="n">
        <v>0</v>
      </c>
      <c r="AR436" t="inlineStr">
        <is>
          <t>No</t>
        </is>
      </c>
      <c r="AS436" t="inlineStr">
        <is>
          <t>Yes</t>
        </is>
      </c>
      <c r="AT436">
        <f>HYPERLINK("http://catalog.hathitrust.org/Record/002447820","HathiTrust Record")</f>
        <v/>
      </c>
      <c r="AU436">
        <f>HYPERLINK("https://creighton-primo.hosted.exlibrisgroup.com/primo-explore/search?tab=default_tab&amp;search_scope=EVERYTHING&amp;vid=01CRU&amp;lang=en_US&amp;offset=0&amp;query=any,contains,991001105999702656","Catalog Record")</f>
        <v/>
      </c>
      <c r="AV436">
        <f>HYPERLINK("http://www.worldcat.org/oclc/19553468","WorldCat Record")</f>
        <v/>
      </c>
      <c r="AW436" t="inlineStr">
        <is>
          <t>1082452:eng</t>
        </is>
      </c>
      <c r="AX436" t="inlineStr">
        <is>
          <t>19553468</t>
        </is>
      </c>
      <c r="AY436" t="inlineStr">
        <is>
          <t>991001105999702656</t>
        </is>
      </c>
      <c r="AZ436" t="inlineStr">
        <is>
          <t>991001105999702656</t>
        </is>
      </c>
      <c r="BA436" t="inlineStr">
        <is>
          <t>2256242380002656</t>
        </is>
      </c>
      <c r="BB436" t="inlineStr">
        <is>
          <t>BOOK</t>
        </is>
      </c>
      <c r="BD436" t="inlineStr">
        <is>
          <t>9780914783244</t>
        </is>
      </c>
      <c r="BE436" t="inlineStr">
        <is>
          <t>30001001611005</t>
        </is>
      </c>
      <c r="BF436" t="inlineStr">
        <is>
          <t>893450878</t>
        </is>
      </c>
    </row>
    <row r="437">
      <c r="A437" t="inlineStr">
        <is>
          <t>No</t>
        </is>
      </c>
      <c r="B437" t="inlineStr">
        <is>
          <t>CUHSL</t>
        </is>
      </c>
      <c r="C437" t="inlineStr">
        <is>
          <t>SHELVES</t>
        </is>
      </c>
      <c r="D437" t="inlineStr">
        <is>
          <t>W50 F224c 2002</t>
        </is>
      </c>
      <c r="E437" t="inlineStr">
        <is>
          <t>0                      W  0050000F  224c        2002</t>
        </is>
      </c>
      <c r="F437" t="inlineStr">
        <is>
          <t>Compassionate respect : a feminist approach to medical ethics and other questions / Margaret A. Farley.</t>
        </is>
      </c>
      <c r="H437" t="inlineStr">
        <is>
          <t>No</t>
        </is>
      </c>
      <c r="I437" t="inlineStr">
        <is>
          <t>1</t>
        </is>
      </c>
      <c r="J437" t="inlineStr">
        <is>
          <t>No</t>
        </is>
      </c>
      <c r="K437" t="inlineStr">
        <is>
          <t>No</t>
        </is>
      </c>
      <c r="L437" t="inlineStr">
        <is>
          <t>0</t>
        </is>
      </c>
      <c r="M437" t="inlineStr">
        <is>
          <t>Farley, Margaret A.</t>
        </is>
      </c>
      <c r="N437" t="inlineStr">
        <is>
          <t>New York : Paulist Press, c2002.</t>
        </is>
      </c>
      <c r="O437" t="inlineStr">
        <is>
          <t>2002</t>
        </is>
      </c>
      <c r="Q437" t="inlineStr">
        <is>
          <t>eng</t>
        </is>
      </c>
      <c r="R437" t="inlineStr">
        <is>
          <t>nyu</t>
        </is>
      </c>
      <c r="S437" t="inlineStr">
        <is>
          <t>Madeleva lecture in spirituality ; 2002</t>
        </is>
      </c>
      <c r="T437" t="inlineStr">
        <is>
          <t xml:space="preserve">W  </t>
        </is>
      </c>
      <c r="U437" t="n">
        <v>3</v>
      </c>
      <c r="V437" t="n">
        <v>3</v>
      </c>
      <c r="W437" t="inlineStr">
        <is>
          <t>2004-07-14</t>
        </is>
      </c>
      <c r="X437" t="inlineStr">
        <is>
          <t>2004-07-14</t>
        </is>
      </c>
      <c r="Y437" t="inlineStr">
        <is>
          <t>2004-04-29</t>
        </is>
      </c>
      <c r="Z437" t="inlineStr">
        <is>
          <t>2004-04-29</t>
        </is>
      </c>
      <c r="AA437" t="n">
        <v>252</v>
      </c>
      <c r="AB437" t="n">
        <v>214</v>
      </c>
      <c r="AC437" t="n">
        <v>214</v>
      </c>
      <c r="AD437" t="n">
        <v>3</v>
      </c>
      <c r="AE437" t="n">
        <v>3</v>
      </c>
      <c r="AF437" t="n">
        <v>31</v>
      </c>
      <c r="AG437" t="n">
        <v>31</v>
      </c>
      <c r="AH437" t="n">
        <v>11</v>
      </c>
      <c r="AI437" t="n">
        <v>11</v>
      </c>
      <c r="AJ437" t="n">
        <v>7</v>
      </c>
      <c r="AK437" t="n">
        <v>7</v>
      </c>
      <c r="AL437" t="n">
        <v>19</v>
      </c>
      <c r="AM437" t="n">
        <v>19</v>
      </c>
      <c r="AN437" t="n">
        <v>2</v>
      </c>
      <c r="AO437" t="n">
        <v>2</v>
      </c>
      <c r="AP437" t="n">
        <v>1</v>
      </c>
      <c r="AQ437" t="n">
        <v>1</v>
      </c>
      <c r="AR437" t="inlineStr">
        <is>
          <t>No</t>
        </is>
      </c>
      <c r="AS437" t="inlineStr">
        <is>
          <t>No</t>
        </is>
      </c>
      <c r="AU437">
        <f>HYPERLINK("https://creighton-primo.hosted.exlibrisgroup.com/primo-explore/search?tab=default_tab&amp;search_scope=EVERYTHING&amp;vid=01CRU&amp;lang=en_US&amp;offset=0&amp;query=any,contains,991000369909702656","Catalog Record")</f>
        <v/>
      </c>
      <c r="AV437">
        <f>HYPERLINK("http://www.worldcat.org/oclc/50447998","WorldCat Record")</f>
        <v/>
      </c>
      <c r="AW437" t="inlineStr">
        <is>
          <t>891825777:eng</t>
        </is>
      </c>
      <c r="AX437" t="inlineStr">
        <is>
          <t>50447998</t>
        </is>
      </c>
      <c r="AY437" t="inlineStr">
        <is>
          <t>991000369909702656</t>
        </is>
      </c>
      <c r="AZ437" t="inlineStr">
        <is>
          <t>991000369909702656</t>
        </is>
      </c>
      <c r="BA437" t="inlineStr">
        <is>
          <t>2271435430002656</t>
        </is>
      </c>
      <c r="BB437" t="inlineStr">
        <is>
          <t>BOOK</t>
        </is>
      </c>
      <c r="BD437" t="inlineStr">
        <is>
          <t>9780809141159</t>
        </is>
      </c>
      <c r="BE437" t="inlineStr">
        <is>
          <t>30001004920429</t>
        </is>
      </c>
      <c r="BF437" t="inlineStr">
        <is>
          <t>893558790</t>
        </is>
      </c>
    </row>
    <row r="438">
      <c r="A438" t="inlineStr">
        <is>
          <t>No</t>
        </is>
      </c>
      <c r="B438" t="inlineStr">
        <is>
          <t>CUHSL</t>
        </is>
      </c>
      <c r="C438" t="inlineStr">
        <is>
          <t>SHELVES</t>
        </is>
      </c>
      <c r="D438" t="inlineStr">
        <is>
          <t>W 50 F623 1883F</t>
        </is>
      </c>
      <c r="E438" t="inlineStr">
        <is>
          <t>0                      W  0050000F  623         1883F</t>
        </is>
      </c>
      <c r="F438" t="inlineStr">
        <is>
          <t>Medical ethics and etiquette : the code of ethics adopted by the American Medical Association / with commentaries by Austin Flint.</t>
        </is>
      </c>
      <c r="H438" t="inlineStr">
        <is>
          <t>No</t>
        </is>
      </c>
      <c r="I438" t="inlineStr">
        <is>
          <t>1</t>
        </is>
      </c>
      <c r="J438" t="inlineStr">
        <is>
          <t>No</t>
        </is>
      </c>
      <c r="K438" t="inlineStr">
        <is>
          <t>No</t>
        </is>
      </c>
      <c r="L438" t="inlineStr">
        <is>
          <t>0</t>
        </is>
      </c>
      <c r="N438" t="inlineStr">
        <is>
          <t>-- Ann Arbor, Michigan : University Microfilms International, c1979.</t>
        </is>
      </c>
      <c r="O438" t="inlineStr">
        <is>
          <t>1979</t>
        </is>
      </c>
      <c r="Q438" t="inlineStr">
        <is>
          <t>eng</t>
        </is>
      </c>
      <c r="R438" t="inlineStr">
        <is>
          <t>miu</t>
        </is>
      </c>
      <c r="T438" t="inlineStr">
        <is>
          <t xml:space="preserve">W  </t>
        </is>
      </c>
      <c r="U438" t="n">
        <v>4</v>
      </c>
      <c r="V438" t="n">
        <v>4</v>
      </c>
      <c r="W438" t="inlineStr">
        <is>
          <t>1995-12-11</t>
        </is>
      </c>
      <c r="X438" t="inlineStr">
        <is>
          <t>1995-12-11</t>
        </is>
      </c>
      <c r="Y438" t="inlineStr">
        <is>
          <t>1987-10-02</t>
        </is>
      </c>
      <c r="Z438" t="inlineStr">
        <is>
          <t>1987-10-02</t>
        </is>
      </c>
      <c r="AA438" t="n">
        <v>4</v>
      </c>
      <c r="AB438" t="n">
        <v>4</v>
      </c>
      <c r="AC438" t="n">
        <v>87</v>
      </c>
      <c r="AD438" t="n">
        <v>1</v>
      </c>
      <c r="AE438" t="n">
        <v>3</v>
      </c>
      <c r="AF438" t="n">
        <v>0</v>
      </c>
      <c r="AG438" t="n">
        <v>4</v>
      </c>
      <c r="AH438" t="n">
        <v>0</v>
      </c>
      <c r="AI438" t="n">
        <v>0</v>
      </c>
      <c r="AJ438" t="n">
        <v>0</v>
      </c>
      <c r="AK438" t="n">
        <v>1</v>
      </c>
      <c r="AL438" t="n">
        <v>0</v>
      </c>
      <c r="AM438" t="n">
        <v>1</v>
      </c>
      <c r="AN438" t="n">
        <v>0</v>
      </c>
      <c r="AO438" t="n">
        <v>2</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HYPERLINK("https://creighton-primo.hosted.exlibrisgroup.com/primo-explore/search?tab=default_tab&amp;search_scope=EVERYTHING&amp;vid=01CRU&amp;lang=en_US&amp;offset=0&amp;query=any,contains,991001185449702656","Catalog Record")</f>
        <v/>
      </c>
      <c r="AV438">
        <f>HYPERLINK("http://www.worldcat.org/oclc/5022074","WorldCat Record")</f>
        <v/>
      </c>
      <c r="AW438" t="inlineStr">
        <is>
          <t>314821052:eng</t>
        </is>
      </c>
      <c r="AX438" t="inlineStr">
        <is>
          <t>5022074</t>
        </is>
      </c>
      <c r="AY438" t="inlineStr">
        <is>
          <t>991001185449702656</t>
        </is>
      </c>
      <c r="AZ438" t="inlineStr">
        <is>
          <t>991001185449702656</t>
        </is>
      </c>
      <c r="BA438" t="inlineStr">
        <is>
          <t>2258057170002656</t>
        </is>
      </c>
      <c r="BB438" t="inlineStr">
        <is>
          <t>BOOK</t>
        </is>
      </c>
      <c r="BE438" t="inlineStr">
        <is>
          <t>30001000309882</t>
        </is>
      </c>
      <c r="BF438" t="inlineStr">
        <is>
          <t>893450929</t>
        </is>
      </c>
    </row>
    <row r="439">
      <c r="A439" t="inlineStr">
        <is>
          <t>No</t>
        </is>
      </c>
      <c r="B439" t="inlineStr">
        <is>
          <t>CUHSL</t>
        </is>
      </c>
      <c r="C439" t="inlineStr">
        <is>
          <t>SHELVES</t>
        </is>
      </c>
      <c r="D439" t="inlineStr">
        <is>
          <t>W 50 F793r 1980</t>
        </is>
      </c>
      <c r="E439" t="inlineStr">
        <is>
          <t>0                      W  0050000F  793r        1980</t>
        </is>
      </c>
      <c r="F439" t="inlineStr">
        <is>
          <t>Returning to Eden : animal rights and human responsibility / Michael W. Fox.</t>
        </is>
      </c>
      <c r="H439" t="inlineStr">
        <is>
          <t>No</t>
        </is>
      </c>
      <c r="I439" t="inlineStr">
        <is>
          <t>1</t>
        </is>
      </c>
      <c r="J439" t="inlineStr">
        <is>
          <t>No</t>
        </is>
      </c>
      <c r="K439" t="inlineStr">
        <is>
          <t>No</t>
        </is>
      </c>
      <c r="L439" t="inlineStr">
        <is>
          <t>0</t>
        </is>
      </c>
      <c r="M439" t="inlineStr">
        <is>
          <t>Fox, Michael W., 1937-</t>
        </is>
      </c>
      <c r="N439" t="inlineStr">
        <is>
          <t>New York : Viking Press, c1980.</t>
        </is>
      </c>
      <c r="O439" t="inlineStr">
        <is>
          <t>1980</t>
        </is>
      </c>
      <c r="Q439" t="inlineStr">
        <is>
          <t>eng</t>
        </is>
      </c>
      <c r="R439" t="inlineStr">
        <is>
          <t>nyu</t>
        </is>
      </c>
      <c r="T439" t="inlineStr">
        <is>
          <t xml:space="preserve">W  </t>
        </is>
      </c>
      <c r="U439" t="n">
        <v>10</v>
      </c>
      <c r="V439" t="n">
        <v>10</v>
      </c>
      <c r="W439" t="inlineStr">
        <is>
          <t>1990-11-23</t>
        </is>
      </c>
      <c r="X439" t="inlineStr">
        <is>
          <t>1990-11-23</t>
        </is>
      </c>
      <c r="Y439" t="inlineStr">
        <is>
          <t>1987-10-02</t>
        </is>
      </c>
      <c r="Z439" t="inlineStr">
        <is>
          <t>1987-10-02</t>
        </is>
      </c>
      <c r="AA439" t="n">
        <v>552</v>
      </c>
      <c r="AB439" t="n">
        <v>510</v>
      </c>
      <c r="AC439" t="n">
        <v>572</v>
      </c>
      <c r="AD439" t="n">
        <v>3</v>
      </c>
      <c r="AE439" t="n">
        <v>3</v>
      </c>
      <c r="AF439" t="n">
        <v>10</v>
      </c>
      <c r="AG439" t="n">
        <v>13</v>
      </c>
      <c r="AH439" t="n">
        <v>3</v>
      </c>
      <c r="AI439" t="n">
        <v>5</v>
      </c>
      <c r="AJ439" t="n">
        <v>5</v>
      </c>
      <c r="AK439" t="n">
        <v>5</v>
      </c>
      <c r="AL439" t="n">
        <v>4</v>
      </c>
      <c r="AM439" t="n">
        <v>6</v>
      </c>
      <c r="AN439" t="n">
        <v>1</v>
      </c>
      <c r="AO439" t="n">
        <v>1</v>
      </c>
      <c r="AP439" t="n">
        <v>0</v>
      </c>
      <c r="AQ439" t="n">
        <v>0</v>
      </c>
      <c r="AR439" t="inlineStr">
        <is>
          <t>No</t>
        </is>
      </c>
      <c r="AS439" t="inlineStr">
        <is>
          <t>Yes</t>
        </is>
      </c>
      <c r="AT439">
        <f>HYPERLINK("http://catalog.hathitrust.org/Record/000736961","HathiTrust Record")</f>
        <v/>
      </c>
      <c r="AU439">
        <f>HYPERLINK("https://creighton-primo.hosted.exlibrisgroup.com/primo-explore/search?tab=default_tab&amp;search_scope=EVERYTHING&amp;vid=01CRU&amp;lang=en_US&amp;offset=0&amp;query=any,contains,991001185489702656","Catalog Record")</f>
        <v/>
      </c>
      <c r="AV439">
        <f>HYPERLINK("http://www.worldcat.org/oclc/6278459","WorldCat Record")</f>
        <v/>
      </c>
      <c r="AW439" t="inlineStr">
        <is>
          <t>5461340:eng</t>
        </is>
      </c>
      <c r="AX439" t="inlineStr">
        <is>
          <t>6278459</t>
        </is>
      </c>
      <c r="AY439" t="inlineStr">
        <is>
          <t>991001185489702656</t>
        </is>
      </c>
      <c r="AZ439" t="inlineStr">
        <is>
          <t>991001185489702656</t>
        </is>
      </c>
      <c r="BA439" t="inlineStr">
        <is>
          <t>2266876380002656</t>
        </is>
      </c>
      <c r="BB439" t="inlineStr">
        <is>
          <t>BOOK</t>
        </is>
      </c>
      <c r="BD439" t="inlineStr">
        <is>
          <t>9780670127221</t>
        </is>
      </c>
      <c r="BE439" t="inlineStr">
        <is>
          <t>30001000309908</t>
        </is>
      </c>
      <c r="BF439" t="inlineStr">
        <is>
          <t>893134328</t>
        </is>
      </c>
    </row>
    <row r="440">
      <c r="A440" t="inlineStr">
        <is>
          <t>No</t>
        </is>
      </c>
      <c r="B440" t="inlineStr">
        <is>
          <t>CUHSL</t>
        </is>
      </c>
      <c r="C440" t="inlineStr">
        <is>
          <t>SHELVES</t>
        </is>
      </c>
      <c r="D440" t="inlineStr">
        <is>
          <t>W 50 F8255b 1983</t>
        </is>
      </c>
      <c r="E440" t="inlineStr">
        <is>
          <t>0                      W  0050000F  8255b       1983</t>
        </is>
      </c>
      <c r="F440" t="inlineStr">
        <is>
          <t>Biomedical ethics : the decision making processes / Robert T. Francoeur.</t>
        </is>
      </c>
      <c r="H440" t="inlineStr">
        <is>
          <t>No</t>
        </is>
      </c>
      <c r="I440" t="inlineStr">
        <is>
          <t>1</t>
        </is>
      </c>
      <c r="J440" t="inlineStr">
        <is>
          <t>No</t>
        </is>
      </c>
      <c r="K440" t="inlineStr">
        <is>
          <t>No</t>
        </is>
      </c>
      <c r="L440" t="inlineStr">
        <is>
          <t>0</t>
        </is>
      </c>
      <c r="M440" t="inlineStr">
        <is>
          <t>Francoeur, Robert T.</t>
        </is>
      </c>
      <c r="N440" t="inlineStr">
        <is>
          <t>New York : Wiley, c1983.</t>
        </is>
      </c>
      <c r="O440" t="inlineStr">
        <is>
          <t>1983</t>
        </is>
      </c>
      <c r="Q440" t="inlineStr">
        <is>
          <t>eng</t>
        </is>
      </c>
      <c r="R440" t="inlineStr">
        <is>
          <t>xxu</t>
        </is>
      </c>
      <c r="S440" t="inlineStr">
        <is>
          <t>A Wiley medical publication</t>
        </is>
      </c>
      <c r="T440" t="inlineStr">
        <is>
          <t xml:space="preserve">W  </t>
        </is>
      </c>
      <c r="U440" t="n">
        <v>36</v>
      </c>
      <c r="V440" t="n">
        <v>36</v>
      </c>
      <c r="W440" t="inlineStr">
        <is>
          <t>2001-04-04</t>
        </is>
      </c>
      <c r="X440" t="inlineStr">
        <is>
          <t>2001-04-04</t>
        </is>
      </c>
      <c r="Y440" t="inlineStr">
        <is>
          <t>1987-10-02</t>
        </is>
      </c>
      <c r="Z440" t="inlineStr">
        <is>
          <t>1987-10-02</t>
        </is>
      </c>
      <c r="AA440" t="n">
        <v>259</v>
      </c>
      <c r="AB440" t="n">
        <v>219</v>
      </c>
      <c r="AC440" t="n">
        <v>224</v>
      </c>
      <c r="AD440" t="n">
        <v>1</v>
      </c>
      <c r="AE440" t="n">
        <v>1</v>
      </c>
      <c r="AF440" t="n">
        <v>12</v>
      </c>
      <c r="AG440" t="n">
        <v>12</v>
      </c>
      <c r="AH440" t="n">
        <v>4</v>
      </c>
      <c r="AI440" t="n">
        <v>4</v>
      </c>
      <c r="AJ440" t="n">
        <v>1</v>
      </c>
      <c r="AK440" t="n">
        <v>1</v>
      </c>
      <c r="AL440" t="n">
        <v>11</v>
      </c>
      <c r="AM440" t="n">
        <v>11</v>
      </c>
      <c r="AN440" t="n">
        <v>0</v>
      </c>
      <c r="AO440" t="n">
        <v>0</v>
      </c>
      <c r="AP440" t="n">
        <v>1</v>
      </c>
      <c r="AQ440" t="n">
        <v>1</v>
      </c>
      <c r="AR440" t="inlineStr">
        <is>
          <t>No</t>
        </is>
      </c>
      <c r="AS440" t="inlineStr">
        <is>
          <t>No</t>
        </is>
      </c>
      <c r="AU440">
        <f>HYPERLINK("https://creighton-primo.hosted.exlibrisgroup.com/primo-explore/search?tab=default_tab&amp;search_scope=EVERYTHING&amp;vid=01CRU&amp;lang=en_US&amp;offset=0&amp;query=any,contains,991001185719702656","Catalog Record")</f>
        <v/>
      </c>
      <c r="AV440">
        <f>HYPERLINK("http://www.worldcat.org/oclc/9488682","WorldCat Record")</f>
        <v/>
      </c>
      <c r="AW440" t="inlineStr">
        <is>
          <t>42858949:eng</t>
        </is>
      </c>
      <c r="AX440" t="inlineStr">
        <is>
          <t>9488682</t>
        </is>
      </c>
      <c r="AY440" t="inlineStr">
        <is>
          <t>991001185719702656</t>
        </is>
      </c>
      <c r="AZ440" t="inlineStr">
        <is>
          <t>991001185719702656</t>
        </is>
      </c>
      <c r="BA440" t="inlineStr">
        <is>
          <t>2264905270002656</t>
        </is>
      </c>
      <c r="BB440" t="inlineStr">
        <is>
          <t>BOOK</t>
        </is>
      </c>
      <c r="BD440" t="inlineStr">
        <is>
          <t>9780471098270</t>
        </is>
      </c>
      <c r="BE440" t="inlineStr">
        <is>
          <t>30001000309916</t>
        </is>
      </c>
      <c r="BF440" t="inlineStr">
        <is>
          <t>893831983</t>
        </is>
      </c>
    </row>
    <row r="441">
      <c r="A441" t="inlineStr">
        <is>
          <t>No</t>
        </is>
      </c>
      <c r="B441" t="inlineStr">
        <is>
          <t>CUHSL</t>
        </is>
      </c>
      <c r="C441" t="inlineStr">
        <is>
          <t>SHELVES</t>
        </is>
      </c>
      <c r="D441" t="inlineStr">
        <is>
          <t>W 50 F855t 1987</t>
        </is>
      </c>
      <c r="E441" t="inlineStr">
        <is>
          <t>0                      W  0050000F  855t        1987</t>
        </is>
      </c>
      <c r="F441" t="inlineStr">
        <is>
          <t>Tough decisions : a casebook in medical ethics / John M. Freeman, Kevin McDonnell.</t>
        </is>
      </c>
      <c r="H441" t="inlineStr">
        <is>
          <t>No</t>
        </is>
      </c>
      <c r="I441" t="inlineStr">
        <is>
          <t>1</t>
        </is>
      </c>
      <c r="J441" t="inlineStr">
        <is>
          <t>No</t>
        </is>
      </c>
      <c r="K441" t="inlineStr">
        <is>
          <t>No</t>
        </is>
      </c>
      <c r="L441" t="inlineStr">
        <is>
          <t>0</t>
        </is>
      </c>
      <c r="M441" t="inlineStr">
        <is>
          <t>Freeman, John Mark.</t>
        </is>
      </c>
      <c r="N441" t="inlineStr">
        <is>
          <t>New York : Oxford University Press, c1987.</t>
        </is>
      </c>
      <c r="O441" t="inlineStr">
        <is>
          <t>1987</t>
        </is>
      </c>
      <c r="Q441" t="inlineStr">
        <is>
          <t>eng</t>
        </is>
      </c>
      <c r="R441" t="inlineStr">
        <is>
          <t>xxu</t>
        </is>
      </c>
      <c r="T441" t="inlineStr">
        <is>
          <t xml:space="preserve">W  </t>
        </is>
      </c>
      <c r="U441" t="n">
        <v>14</v>
      </c>
      <c r="V441" t="n">
        <v>14</v>
      </c>
      <c r="W441" t="inlineStr">
        <is>
          <t>1998-09-21</t>
        </is>
      </c>
      <c r="X441" t="inlineStr">
        <is>
          <t>1998-09-21</t>
        </is>
      </c>
      <c r="Y441" t="inlineStr">
        <is>
          <t>1988-01-05</t>
        </is>
      </c>
      <c r="Z441" t="inlineStr">
        <is>
          <t>1988-01-05</t>
        </is>
      </c>
      <c r="AA441" t="n">
        <v>475</v>
      </c>
      <c r="AB441" t="n">
        <v>395</v>
      </c>
      <c r="AC441" t="n">
        <v>399</v>
      </c>
      <c r="AD441" t="n">
        <v>4</v>
      </c>
      <c r="AE441" t="n">
        <v>4</v>
      </c>
      <c r="AF441" t="n">
        <v>34</v>
      </c>
      <c r="AG441" t="n">
        <v>34</v>
      </c>
      <c r="AH441" t="n">
        <v>14</v>
      </c>
      <c r="AI441" t="n">
        <v>14</v>
      </c>
      <c r="AJ441" t="n">
        <v>8</v>
      </c>
      <c r="AK441" t="n">
        <v>8</v>
      </c>
      <c r="AL441" t="n">
        <v>16</v>
      </c>
      <c r="AM441" t="n">
        <v>16</v>
      </c>
      <c r="AN441" t="n">
        <v>2</v>
      </c>
      <c r="AO441" t="n">
        <v>2</v>
      </c>
      <c r="AP441" t="n">
        <v>4</v>
      </c>
      <c r="AQ441" t="n">
        <v>4</v>
      </c>
      <c r="AR441" t="inlineStr">
        <is>
          <t>No</t>
        </is>
      </c>
      <c r="AS441" t="inlineStr">
        <is>
          <t>Yes</t>
        </is>
      </c>
      <c r="AT441">
        <f>HYPERLINK("http://catalog.hathitrust.org/Record/000836211","HathiTrust Record")</f>
        <v/>
      </c>
      <c r="AU441">
        <f>HYPERLINK("https://creighton-primo.hosted.exlibrisgroup.com/primo-explore/search?tab=default_tab&amp;search_scope=EVERYTHING&amp;vid=01CRU&amp;lang=en_US&amp;offset=0&amp;query=any,contains,991001535199702656","Catalog Record")</f>
        <v/>
      </c>
      <c r="AV441">
        <f>HYPERLINK("http://www.worldcat.org/oclc/14932241","WorldCat Record")</f>
        <v/>
      </c>
      <c r="AW441" t="inlineStr">
        <is>
          <t>10177311273:eng</t>
        </is>
      </c>
      <c r="AX441" t="inlineStr">
        <is>
          <t>14932241</t>
        </is>
      </c>
      <c r="AY441" t="inlineStr">
        <is>
          <t>991001535199702656</t>
        </is>
      </c>
      <c r="AZ441" t="inlineStr">
        <is>
          <t>991001535199702656</t>
        </is>
      </c>
      <c r="BA441" t="inlineStr">
        <is>
          <t>2264050810002656</t>
        </is>
      </c>
      <c r="BB441" t="inlineStr">
        <is>
          <t>BOOK</t>
        </is>
      </c>
      <c r="BD441" t="inlineStr">
        <is>
          <t>9780195042559</t>
        </is>
      </c>
      <c r="BE441" t="inlineStr">
        <is>
          <t>30001000622656</t>
        </is>
      </c>
      <c r="BF441" t="inlineStr">
        <is>
          <t>893834716</t>
        </is>
      </c>
    </row>
    <row r="442">
      <c r="A442" t="inlineStr">
        <is>
          <t>No</t>
        </is>
      </c>
      <c r="B442" t="inlineStr">
        <is>
          <t>CUHSL</t>
        </is>
      </c>
      <c r="C442" t="inlineStr">
        <is>
          <t>SHELVES</t>
        </is>
      </c>
      <c r="D442" t="inlineStr">
        <is>
          <t>W 50 F911r 1996</t>
        </is>
      </c>
      <c r="E442" t="inlineStr">
        <is>
          <t>0                      W  0050000F  911r        1996</t>
        </is>
      </c>
      <c r="F442" t="inlineStr">
        <is>
          <t>The right thing : ten years of ethics columns from the Healthcare forum journal / Emily Friedman.</t>
        </is>
      </c>
      <c r="H442" t="inlineStr">
        <is>
          <t>No</t>
        </is>
      </c>
      <c r="I442" t="inlineStr">
        <is>
          <t>1</t>
        </is>
      </c>
      <c r="J442" t="inlineStr">
        <is>
          <t>No</t>
        </is>
      </c>
      <c r="K442" t="inlineStr">
        <is>
          <t>No</t>
        </is>
      </c>
      <c r="L442" t="inlineStr">
        <is>
          <t>0</t>
        </is>
      </c>
      <c r="M442" t="inlineStr">
        <is>
          <t>Friedman, Emily.</t>
        </is>
      </c>
      <c r="N442" t="inlineStr">
        <is>
          <t>San Francisco : Jossey-Bass Publishers, c1996.</t>
        </is>
      </c>
      <c r="O442" t="inlineStr">
        <is>
          <t>1996</t>
        </is>
      </c>
      <c r="P442" t="inlineStr">
        <is>
          <t>1st ed.</t>
        </is>
      </c>
      <c r="Q442" t="inlineStr">
        <is>
          <t>eng</t>
        </is>
      </c>
      <c r="R442" t="inlineStr">
        <is>
          <t>cau</t>
        </is>
      </c>
      <c r="T442" t="inlineStr">
        <is>
          <t xml:space="preserve">W  </t>
        </is>
      </c>
      <c r="U442" t="n">
        <v>20</v>
      </c>
      <c r="V442" t="n">
        <v>20</v>
      </c>
      <c r="W442" t="inlineStr">
        <is>
          <t>2008-07-16</t>
        </is>
      </c>
      <c r="X442" t="inlineStr">
        <is>
          <t>2008-07-16</t>
        </is>
      </c>
      <c r="Y442" t="inlineStr">
        <is>
          <t>1997-06-04</t>
        </is>
      </c>
      <c r="Z442" t="inlineStr">
        <is>
          <t>1997-06-04</t>
        </is>
      </c>
      <c r="AA442" t="n">
        <v>148</v>
      </c>
      <c r="AB442" t="n">
        <v>123</v>
      </c>
      <c r="AC442" t="n">
        <v>129</v>
      </c>
      <c r="AD442" t="n">
        <v>2</v>
      </c>
      <c r="AE442" t="n">
        <v>2</v>
      </c>
      <c r="AF442" t="n">
        <v>8</v>
      </c>
      <c r="AG442" t="n">
        <v>8</v>
      </c>
      <c r="AH442" t="n">
        <v>2</v>
      </c>
      <c r="AI442" t="n">
        <v>2</v>
      </c>
      <c r="AJ442" t="n">
        <v>1</v>
      </c>
      <c r="AK442" t="n">
        <v>1</v>
      </c>
      <c r="AL442" t="n">
        <v>6</v>
      </c>
      <c r="AM442" t="n">
        <v>6</v>
      </c>
      <c r="AN442" t="n">
        <v>1</v>
      </c>
      <c r="AO442" t="n">
        <v>1</v>
      </c>
      <c r="AP442" t="n">
        <v>0</v>
      </c>
      <c r="AQ442" t="n">
        <v>0</v>
      </c>
      <c r="AR442" t="inlineStr">
        <is>
          <t>No</t>
        </is>
      </c>
      <c r="AS442" t="inlineStr">
        <is>
          <t>Yes</t>
        </is>
      </c>
      <c r="AT442">
        <f>HYPERLINK("http://catalog.hathitrust.org/Record/101975389","HathiTrust Record")</f>
        <v/>
      </c>
      <c r="AU442">
        <f>HYPERLINK("https://creighton-primo.hosted.exlibrisgroup.com/primo-explore/search?tab=default_tab&amp;search_scope=EVERYTHING&amp;vid=01CRU&amp;lang=en_US&amp;offset=0&amp;query=any,contains,991001250019702656","Catalog Record")</f>
        <v/>
      </c>
      <c r="AV442">
        <f>HYPERLINK("http://www.worldcat.org/oclc/34192442","WorldCat Record")</f>
        <v/>
      </c>
      <c r="AW442" t="inlineStr">
        <is>
          <t>1869915409:eng</t>
        </is>
      </c>
      <c r="AX442" t="inlineStr">
        <is>
          <t>34192442</t>
        </is>
      </c>
      <c r="AY442" t="inlineStr">
        <is>
          <t>991001250019702656</t>
        </is>
      </c>
      <c r="AZ442" t="inlineStr">
        <is>
          <t>991001250019702656</t>
        </is>
      </c>
      <c r="BA442" t="inlineStr">
        <is>
          <t>2259983940002656</t>
        </is>
      </c>
      <c r="BB442" t="inlineStr">
        <is>
          <t>BOOK</t>
        </is>
      </c>
      <c r="BD442" t="inlineStr">
        <is>
          <t>9780787902254</t>
        </is>
      </c>
      <c r="BE442" t="inlineStr">
        <is>
          <t>30001003682624</t>
        </is>
      </c>
      <c r="BF442" t="inlineStr">
        <is>
          <t>893161801</t>
        </is>
      </c>
    </row>
    <row r="443">
      <c r="A443" t="inlineStr">
        <is>
          <t>No</t>
        </is>
      </c>
      <c r="B443" t="inlineStr">
        <is>
          <t>CUHSL</t>
        </is>
      </c>
      <c r="C443" t="inlineStr">
        <is>
          <t>SHELVES</t>
        </is>
      </c>
      <c r="D443" t="inlineStr">
        <is>
          <t>W 50 G239h 1998</t>
        </is>
      </c>
      <c r="E443" t="inlineStr">
        <is>
          <t>0                      W  0050000G  239h        1998</t>
        </is>
      </c>
      <c r="F443" t="inlineStr">
        <is>
          <t>Health care ethics : principles and problems / Thomas M. Garrett, Harold W. Baillie, Rosellen M. Garrett.</t>
        </is>
      </c>
      <c r="H443" t="inlineStr">
        <is>
          <t>No</t>
        </is>
      </c>
      <c r="I443" t="inlineStr">
        <is>
          <t>1</t>
        </is>
      </c>
      <c r="J443" t="inlineStr">
        <is>
          <t>No</t>
        </is>
      </c>
      <c r="K443" t="inlineStr">
        <is>
          <t>Yes</t>
        </is>
      </c>
      <c r="L443" t="inlineStr">
        <is>
          <t>0</t>
        </is>
      </c>
      <c r="M443" t="inlineStr">
        <is>
          <t>Garrett, Thomas M., 1924-1997.</t>
        </is>
      </c>
      <c r="N443" t="inlineStr">
        <is>
          <t>Upper Saddle River, N.J. : Prentice Hall, c1998.</t>
        </is>
      </c>
      <c r="O443" t="inlineStr">
        <is>
          <t>1998</t>
        </is>
      </c>
      <c r="P443" t="inlineStr">
        <is>
          <t>3rd ed.</t>
        </is>
      </c>
      <c r="Q443" t="inlineStr">
        <is>
          <t>eng</t>
        </is>
      </c>
      <c r="R443" t="inlineStr">
        <is>
          <t>nju</t>
        </is>
      </c>
      <c r="T443" t="inlineStr">
        <is>
          <t xml:space="preserve">W  </t>
        </is>
      </c>
      <c r="U443" t="n">
        <v>31</v>
      </c>
      <c r="V443" t="n">
        <v>31</v>
      </c>
      <c r="W443" t="inlineStr">
        <is>
          <t>2008-08-15</t>
        </is>
      </c>
      <c r="X443" t="inlineStr">
        <is>
          <t>2008-08-15</t>
        </is>
      </c>
      <c r="Y443" t="inlineStr">
        <is>
          <t>1998-01-16</t>
        </is>
      </c>
      <c r="Z443" t="inlineStr">
        <is>
          <t>1998-01-16</t>
        </is>
      </c>
      <c r="AA443" t="n">
        <v>94</v>
      </c>
      <c r="AB443" t="n">
        <v>72</v>
      </c>
      <c r="AC443" t="n">
        <v>552</v>
      </c>
      <c r="AD443" t="n">
        <v>1</v>
      </c>
      <c r="AE443" t="n">
        <v>5</v>
      </c>
      <c r="AF443" t="n">
        <v>4</v>
      </c>
      <c r="AG443" t="n">
        <v>25</v>
      </c>
      <c r="AH443" t="n">
        <v>2</v>
      </c>
      <c r="AI443" t="n">
        <v>11</v>
      </c>
      <c r="AJ443" t="n">
        <v>1</v>
      </c>
      <c r="AK443" t="n">
        <v>5</v>
      </c>
      <c r="AL443" t="n">
        <v>4</v>
      </c>
      <c r="AM443" t="n">
        <v>13</v>
      </c>
      <c r="AN443" t="n">
        <v>0</v>
      </c>
      <c r="AO443" t="n">
        <v>3</v>
      </c>
      <c r="AP443" t="n">
        <v>0</v>
      </c>
      <c r="AQ443" t="n">
        <v>0</v>
      </c>
      <c r="AR443" t="inlineStr">
        <is>
          <t>No</t>
        </is>
      </c>
      <c r="AS443" t="inlineStr">
        <is>
          <t>Yes</t>
        </is>
      </c>
      <c r="AT443">
        <f>HYPERLINK("http://catalog.hathitrust.org/Record/004117586","HathiTrust Record")</f>
        <v/>
      </c>
      <c r="AU443">
        <f>HYPERLINK("https://creighton-primo.hosted.exlibrisgroup.com/primo-explore/search?tab=default_tab&amp;search_scope=EVERYTHING&amp;vid=01CRU&amp;lang=en_US&amp;offset=0&amp;query=any,contains,991001564029702656","Catalog Record")</f>
        <v/>
      </c>
      <c r="AV443">
        <f>HYPERLINK("http://www.worldcat.org/oclc/37282488","WorldCat Record")</f>
        <v/>
      </c>
      <c r="AW443" t="inlineStr">
        <is>
          <t>16481443:eng</t>
        </is>
      </c>
      <c r="AX443" t="inlineStr">
        <is>
          <t>37282488</t>
        </is>
      </c>
      <c r="AY443" t="inlineStr">
        <is>
          <t>991001564029702656</t>
        </is>
      </c>
      <c r="AZ443" t="inlineStr">
        <is>
          <t>991001564029702656</t>
        </is>
      </c>
      <c r="BA443" t="inlineStr">
        <is>
          <t>2257349440002656</t>
        </is>
      </c>
      <c r="BB443" t="inlineStr">
        <is>
          <t>BOOK</t>
        </is>
      </c>
      <c r="BD443" t="inlineStr">
        <is>
          <t>9780138566340</t>
        </is>
      </c>
      <c r="BE443" t="inlineStr">
        <is>
          <t>30001003664960</t>
        </is>
      </c>
      <c r="BF443" t="inlineStr">
        <is>
          <t>893374740</t>
        </is>
      </c>
    </row>
    <row r="444">
      <c r="A444" t="inlineStr">
        <is>
          <t>No</t>
        </is>
      </c>
      <c r="B444" t="inlineStr">
        <is>
          <t>CUHSL</t>
        </is>
      </c>
      <c r="C444" t="inlineStr">
        <is>
          <t>SHELVES</t>
        </is>
      </c>
      <c r="D444" t="inlineStr">
        <is>
          <t>W 50 G548c 1985</t>
        </is>
      </c>
      <c r="E444" t="inlineStr">
        <is>
          <t>0                      W  0050000G  548c        1985</t>
        </is>
      </c>
      <c r="F444" t="inlineStr">
        <is>
          <t>Caring for the special child : ethical decision making / John Glaser.</t>
        </is>
      </c>
      <c r="H444" t="inlineStr">
        <is>
          <t>No</t>
        </is>
      </c>
      <c r="I444" t="inlineStr">
        <is>
          <t>1</t>
        </is>
      </c>
      <c r="J444" t="inlineStr">
        <is>
          <t>No</t>
        </is>
      </c>
      <c r="K444" t="inlineStr">
        <is>
          <t>No</t>
        </is>
      </c>
      <c r="L444" t="inlineStr">
        <is>
          <t>0</t>
        </is>
      </c>
      <c r="M444" t="inlineStr">
        <is>
          <t>Glaser, Jack.</t>
        </is>
      </c>
      <c r="N444" t="inlineStr">
        <is>
          <t>Kansas City, MO : Leaven Press, c1985.</t>
        </is>
      </c>
      <c r="O444" t="inlineStr">
        <is>
          <t>1985</t>
        </is>
      </c>
      <c r="Q444" t="inlineStr">
        <is>
          <t>eng</t>
        </is>
      </c>
      <c r="R444" t="inlineStr">
        <is>
          <t>mou</t>
        </is>
      </c>
      <c r="T444" t="inlineStr">
        <is>
          <t xml:space="preserve">W  </t>
        </is>
      </c>
      <c r="U444" t="n">
        <v>10</v>
      </c>
      <c r="V444" t="n">
        <v>10</v>
      </c>
      <c r="W444" t="inlineStr">
        <is>
          <t>1999-11-22</t>
        </is>
      </c>
      <c r="X444" t="inlineStr">
        <is>
          <t>1999-11-22</t>
        </is>
      </c>
      <c r="Y444" t="inlineStr">
        <is>
          <t>1987-10-02</t>
        </is>
      </c>
      <c r="Z444" t="inlineStr">
        <is>
          <t>1987-10-02</t>
        </is>
      </c>
      <c r="AA444" t="n">
        <v>88</v>
      </c>
      <c r="AB444" t="n">
        <v>88</v>
      </c>
      <c r="AC444" t="n">
        <v>88</v>
      </c>
      <c r="AD444" t="n">
        <v>2</v>
      </c>
      <c r="AE444" t="n">
        <v>2</v>
      </c>
      <c r="AF444" t="n">
        <v>7</v>
      </c>
      <c r="AG444" t="n">
        <v>7</v>
      </c>
      <c r="AH444" t="n">
        <v>3</v>
      </c>
      <c r="AI444" t="n">
        <v>3</v>
      </c>
      <c r="AJ444" t="n">
        <v>1</v>
      </c>
      <c r="AK444" t="n">
        <v>1</v>
      </c>
      <c r="AL444" t="n">
        <v>5</v>
      </c>
      <c r="AM444" t="n">
        <v>5</v>
      </c>
      <c r="AN444" t="n">
        <v>1</v>
      </c>
      <c r="AO444" t="n">
        <v>1</v>
      </c>
      <c r="AP444" t="n">
        <v>0</v>
      </c>
      <c r="AQ444" t="n">
        <v>0</v>
      </c>
      <c r="AR444" t="inlineStr">
        <is>
          <t>No</t>
        </is>
      </c>
      <c r="AS444" t="inlineStr">
        <is>
          <t>No</t>
        </is>
      </c>
      <c r="AU444">
        <f>HYPERLINK("https://creighton-primo.hosted.exlibrisgroup.com/primo-explore/search?tab=default_tab&amp;search_scope=EVERYTHING&amp;vid=01CRU&amp;lang=en_US&amp;offset=0&amp;query=any,contains,991001206629702656","Catalog Record")</f>
        <v/>
      </c>
      <c r="AV444">
        <f>HYPERLINK("http://www.worldcat.org/oclc/11850856","WorldCat Record")</f>
        <v/>
      </c>
      <c r="AW444" t="inlineStr">
        <is>
          <t>4255751:eng</t>
        </is>
      </c>
      <c r="AX444" t="inlineStr">
        <is>
          <t>11850856</t>
        </is>
      </c>
      <c r="AY444" t="inlineStr">
        <is>
          <t>991001206629702656</t>
        </is>
      </c>
      <c r="AZ444" t="inlineStr">
        <is>
          <t>991001206629702656</t>
        </is>
      </c>
      <c r="BA444" t="inlineStr">
        <is>
          <t>2264107800002656</t>
        </is>
      </c>
      <c r="BB444" t="inlineStr">
        <is>
          <t>BOOK</t>
        </is>
      </c>
      <c r="BD444" t="inlineStr">
        <is>
          <t>9780934134149</t>
        </is>
      </c>
      <c r="BE444" t="inlineStr">
        <is>
          <t>30001000320087</t>
        </is>
      </c>
      <c r="BF444" t="inlineStr">
        <is>
          <t>893363887</t>
        </is>
      </c>
    </row>
    <row r="445">
      <c r="A445" t="inlineStr">
        <is>
          <t>No</t>
        </is>
      </c>
      <c r="B445" t="inlineStr">
        <is>
          <t>CUHSL</t>
        </is>
      </c>
      <c r="C445" t="inlineStr">
        <is>
          <t>SHELVES</t>
        </is>
      </c>
      <c r="D445" t="inlineStr">
        <is>
          <t>W 50 G566c 1977</t>
        </is>
      </c>
      <c r="E445" t="inlineStr">
        <is>
          <t>0                      W  0050000G  566c        1977</t>
        </is>
      </c>
      <c r="F445" t="inlineStr">
        <is>
          <t>Causing death and saving lives / Jonathan Glover.</t>
        </is>
      </c>
      <c r="H445" t="inlineStr">
        <is>
          <t>No</t>
        </is>
      </c>
      <c r="I445" t="inlineStr">
        <is>
          <t>1</t>
        </is>
      </c>
      <c r="J445" t="inlineStr">
        <is>
          <t>No</t>
        </is>
      </c>
      <c r="K445" t="inlineStr">
        <is>
          <t>No</t>
        </is>
      </c>
      <c r="L445" t="inlineStr">
        <is>
          <t>0</t>
        </is>
      </c>
      <c r="M445" t="inlineStr">
        <is>
          <t>Glover, Jonathan.</t>
        </is>
      </c>
      <c r="N445" t="inlineStr">
        <is>
          <t>Harmondsworth ; New York [etc.] : Penguin, 1982 printing, c1977.</t>
        </is>
      </c>
      <c r="O445" t="inlineStr">
        <is>
          <t>1977</t>
        </is>
      </c>
      <c r="Q445" t="inlineStr">
        <is>
          <t>eng</t>
        </is>
      </c>
      <c r="R445" t="inlineStr">
        <is>
          <t>enk</t>
        </is>
      </c>
      <c r="S445" t="inlineStr">
        <is>
          <t>Pelican books</t>
        </is>
      </c>
      <c r="T445" t="inlineStr">
        <is>
          <t xml:space="preserve">W  </t>
        </is>
      </c>
      <c r="U445" t="n">
        <v>6</v>
      </c>
      <c r="V445" t="n">
        <v>6</v>
      </c>
      <c r="W445" t="inlineStr">
        <is>
          <t>1998-04-22</t>
        </is>
      </c>
      <c r="X445" t="inlineStr">
        <is>
          <t>1998-04-22</t>
        </is>
      </c>
      <c r="Y445" t="inlineStr">
        <is>
          <t>1987-10-02</t>
        </is>
      </c>
      <c r="Z445" t="inlineStr">
        <is>
          <t>1987-10-02</t>
        </is>
      </c>
      <c r="AA445" t="n">
        <v>1001</v>
      </c>
      <c r="AB445" t="n">
        <v>721</v>
      </c>
      <c r="AC445" t="n">
        <v>763</v>
      </c>
      <c r="AD445" t="n">
        <v>5</v>
      </c>
      <c r="AE445" t="n">
        <v>6</v>
      </c>
      <c r="AF445" t="n">
        <v>32</v>
      </c>
      <c r="AG445" t="n">
        <v>35</v>
      </c>
      <c r="AH445" t="n">
        <v>9</v>
      </c>
      <c r="AI445" t="n">
        <v>9</v>
      </c>
      <c r="AJ445" t="n">
        <v>9</v>
      </c>
      <c r="AK445" t="n">
        <v>9</v>
      </c>
      <c r="AL445" t="n">
        <v>16</v>
      </c>
      <c r="AM445" t="n">
        <v>16</v>
      </c>
      <c r="AN445" t="n">
        <v>4</v>
      </c>
      <c r="AO445" t="n">
        <v>5</v>
      </c>
      <c r="AP445" t="n">
        <v>2</v>
      </c>
      <c r="AQ445" t="n">
        <v>4</v>
      </c>
      <c r="AR445" t="inlineStr">
        <is>
          <t>No</t>
        </is>
      </c>
      <c r="AS445" t="inlineStr">
        <is>
          <t>Yes</t>
        </is>
      </c>
      <c r="AT445">
        <f>HYPERLINK("http://catalog.hathitrust.org/Record/000090587","HathiTrust Record")</f>
        <v/>
      </c>
      <c r="AU445">
        <f>HYPERLINK("https://creighton-primo.hosted.exlibrisgroup.com/primo-explore/search?tab=default_tab&amp;search_scope=EVERYTHING&amp;vid=01CRU&amp;lang=en_US&amp;offset=0&amp;query=any,contains,991001185759702656","Catalog Record")</f>
        <v/>
      </c>
      <c r="AV445">
        <f>HYPERLINK("http://www.worldcat.org/oclc/4468071","WorldCat Record")</f>
        <v/>
      </c>
      <c r="AW445" t="inlineStr">
        <is>
          <t>14684558:eng</t>
        </is>
      </c>
      <c r="AX445" t="inlineStr">
        <is>
          <t>4468071</t>
        </is>
      </c>
      <c r="AY445" t="inlineStr">
        <is>
          <t>991001185759702656</t>
        </is>
      </c>
      <c r="AZ445" t="inlineStr">
        <is>
          <t>991001185759702656</t>
        </is>
      </c>
      <c r="BA445" t="inlineStr">
        <is>
          <t>2256745620002656</t>
        </is>
      </c>
      <c r="BB445" t="inlineStr">
        <is>
          <t>BOOK</t>
        </is>
      </c>
      <c r="BD445" t="inlineStr">
        <is>
          <t>9780140220032</t>
        </is>
      </c>
      <c r="BE445" t="inlineStr">
        <is>
          <t>30001000309924</t>
        </is>
      </c>
      <c r="BF445" t="inlineStr">
        <is>
          <t>893727322</t>
        </is>
      </c>
    </row>
    <row r="446">
      <c r="A446" t="inlineStr">
        <is>
          <t>No</t>
        </is>
      </c>
      <c r="B446" t="inlineStr">
        <is>
          <t>CUHSL</t>
        </is>
      </c>
      <c r="C446" t="inlineStr">
        <is>
          <t>SHELVES</t>
        </is>
      </c>
      <c r="D446" t="inlineStr">
        <is>
          <t>W 50 G585c 1957</t>
        </is>
      </c>
      <c r="E446" t="inlineStr">
        <is>
          <t>0                      W  0050000G  585c        1957</t>
        </is>
      </c>
      <c r="F446" t="inlineStr">
        <is>
          <t>Hospital ethics : a commentary on the moral code of Catholic hospitals / by Rev. Edgar Godin and Rev. J.P.E. O'Hanley.</t>
        </is>
      </c>
      <c r="H446" t="inlineStr">
        <is>
          <t>No</t>
        </is>
      </c>
      <c r="I446" t="inlineStr">
        <is>
          <t>1</t>
        </is>
      </c>
      <c r="J446" t="inlineStr">
        <is>
          <t>No</t>
        </is>
      </c>
      <c r="K446" t="inlineStr">
        <is>
          <t>No</t>
        </is>
      </c>
      <c r="L446" t="inlineStr">
        <is>
          <t>0</t>
        </is>
      </c>
      <c r="M446" t="inlineStr">
        <is>
          <t>Godin, Edgar.</t>
        </is>
      </c>
      <c r="N446" t="inlineStr">
        <is>
          <t>Bathurst, N.B. : Hotel Dieu Hospital, 1957.</t>
        </is>
      </c>
      <c r="O446" t="inlineStr">
        <is>
          <t>1957</t>
        </is>
      </c>
      <c r="P446" t="inlineStr">
        <is>
          <t>1st ed.</t>
        </is>
      </c>
      <c r="Q446" t="inlineStr">
        <is>
          <t>eng</t>
        </is>
      </c>
      <c r="R446" t="inlineStr">
        <is>
          <t>nkc</t>
        </is>
      </c>
      <c r="T446" t="inlineStr">
        <is>
          <t xml:space="preserve">W  </t>
        </is>
      </c>
      <c r="U446" t="n">
        <v>2</v>
      </c>
      <c r="V446" t="n">
        <v>2</v>
      </c>
      <c r="W446" t="inlineStr">
        <is>
          <t>2001-09-02</t>
        </is>
      </c>
      <c r="X446" t="inlineStr">
        <is>
          <t>2001-09-02</t>
        </is>
      </c>
      <c r="Y446" t="inlineStr">
        <is>
          <t>1987-10-08</t>
        </is>
      </c>
      <c r="Z446" t="inlineStr">
        <is>
          <t>1987-10-08</t>
        </is>
      </c>
      <c r="AA446" t="n">
        <v>44</v>
      </c>
      <c r="AB446" t="n">
        <v>31</v>
      </c>
      <c r="AC446" t="n">
        <v>31</v>
      </c>
      <c r="AD446" t="n">
        <v>1</v>
      </c>
      <c r="AE446" t="n">
        <v>1</v>
      </c>
      <c r="AF446" t="n">
        <v>8</v>
      </c>
      <c r="AG446" t="n">
        <v>8</v>
      </c>
      <c r="AH446" t="n">
        <v>2</v>
      </c>
      <c r="AI446" t="n">
        <v>2</v>
      </c>
      <c r="AJ446" t="n">
        <v>2</v>
      </c>
      <c r="AK446" t="n">
        <v>2</v>
      </c>
      <c r="AL446" t="n">
        <v>6</v>
      </c>
      <c r="AM446" t="n">
        <v>6</v>
      </c>
      <c r="AN446" t="n">
        <v>0</v>
      </c>
      <c r="AO446" t="n">
        <v>0</v>
      </c>
      <c r="AP446" t="n">
        <v>0</v>
      </c>
      <c r="AQ446" t="n">
        <v>0</v>
      </c>
      <c r="AR446" t="inlineStr">
        <is>
          <t>No</t>
        </is>
      </c>
      <c r="AS446" t="inlineStr">
        <is>
          <t>No</t>
        </is>
      </c>
      <c r="AU446">
        <f>HYPERLINK("https://creighton-primo.hosted.exlibrisgroup.com/primo-explore/search?tab=default_tab&amp;search_scope=EVERYTHING&amp;vid=01CRU&amp;lang=en_US&amp;offset=0&amp;query=any,contains,991001185799702656","Catalog Record")</f>
        <v/>
      </c>
      <c r="AV446">
        <f>HYPERLINK("http://www.worldcat.org/oclc/2774517","WorldCat Record")</f>
        <v/>
      </c>
      <c r="AW446" t="inlineStr">
        <is>
          <t>4435522237:eng</t>
        </is>
      </c>
      <c r="AX446" t="inlineStr">
        <is>
          <t>2774517</t>
        </is>
      </c>
      <c r="AY446" t="inlineStr">
        <is>
          <t>991001185799702656</t>
        </is>
      </c>
      <c r="AZ446" t="inlineStr">
        <is>
          <t>991001185799702656</t>
        </is>
      </c>
      <c r="BA446" t="inlineStr">
        <is>
          <t>2272433610002656</t>
        </is>
      </c>
      <c r="BB446" t="inlineStr">
        <is>
          <t>BOOK</t>
        </is>
      </c>
      <c r="BE446" t="inlineStr">
        <is>
          <t>30001000309932</t>
        </is>
      </c>
      <c r="BF446" t="inlineStr">
        <is>
          <t>893557673</t>
        </is>
      </c>
    </row>
    <row r="447">
      <c r="A447" t="inlineStr">
        <is>
          <t>No</t>
        </is>
      </c>
      <c r="B447" t="inlineStr">
        <is>
          <t>CUHSL</t>
        </is>
      </c>
      <c r="C447" t="inlineStr">
        <is>
          <t>SHELVES</t>
        </is>
      </c>
      <c r="D447" t="inlineStr">
        <is>
          <t>W 50 G728e 1985</t>
        </is>
      </c>
      <c r="E447" t="inlineStr">
        <is>
          <t>0                      W  0050000G  728e        1985</t>
        </is>
      </c>
      <c r="F447" t="inlineStr">
        <is>
          <t>Ethical analysis of clinical medicine : a guide to self-evaluation / Glenn C. Graber, Alfred D. Beasley, John A. Eaddy.</t>
        </is>
      </c>
      <c r="H447" t="inlineStr">
        <is>
          <t>No</t>
        </is>
      </c>
      <c r="I447" t="inlineStr">
        <is>
          <t>1</t>
        </is>
      </c>
      <c r="J447" t="inlineStr">
        <is>
          <t>No</t>
        </is>
      </c>
      <c r="K447" t="inlineStr">
        <is>
          <t>No</t>
        </is>
      </c>
      <c r="L447" t="inlineStr">
        <is>
          <t>0</t>
        </is>
      </c>
      <c r="M447" t="inlineStr">
        <is>
          <t>Graber, Glenn C.</t>
        </is>
      </c>
      <c r="N447" t="inlineStr">
        <is>
          <t>Baltimore : Urban &amp; Schwarzenberg, c1985.</t>
        </is>
      </c>
      <c r="O447" t="inlineStr">
        <is>
          <t>1985</t>
        </is>
      </c>
      <c r="Q447" t="inlineStr">
        <is>
          <t>eng</t>
        </is>
      </c>
      <c r="R447" t="inlineStr">
        <is>
          <t>xxu</t>
        </is>
      </c>
      <c r="T447" t="inlineStr">
        <is>
          <t xml:space="preserve">W  </t>
        </is>
      </c>
      <c r="U447" t="n">
        <v>36</v>
      </c>
      <c r="V447" t="n">
        <v>36</v>
      </c>
      <c r="W447" t="inlineStr">
        <is>
          <t>2003-09-12</t>
        </is>
      </c>
      <c r="X447" t="inlineStr">
        <is>
          <t>2003-09-12</t>
        </is>
      </c>
      <c r="Y447" t="inlineStr">
        <is>
          <t>1987-10-02</t>
        </is>
      </c>
      <c r="Z447" t="inlineStr">
        <is>
          <t>1987-10-02</t>
        </is>
      </c>
      <c r="AA447" t="n">
        <v>231</v>
      </c>
      <c r="AB447" t="n">
        <v>193</v>
      </c>
      <c r="AC447" t="n">
        <v>200</v>
      </c>
      <c r="AD447" t="n">
        <v>1</v>
      </c>
      <c r="AE447" t="n">
        <v>1</v>
      </c>
      <c r="AF447" t="n">
        <v>10</v>
      </c>
      <c r="AG447" t="n">
        <v>10</v>
      </c>
      <c r="AH447" t="n">
        <v>3</v>
      </c>
      <c r="AI447" t="n">
        <v>3</v>
      </c>
      <c r="AJ447" t="n">
        <v>1</v>
      </c>
      <c r="AK447" t="n">
        <v>1</v>
      </c>
      <c r="AL447" t="n">
        <v>7</v>
      </c>
      <c r="AM447" t="n">
        <v>7</v>
      </c>
      <c r="AN447" t="n">
        <v>0</v>
      </c>
      <c r="AO447" t="n">
        <v>0</v>
      </c>
      <c r="AP447" t="n">
        <v>1</v>
      </c>
      <c r="AQ447" t="n">
        <v>1</v>
      </c>
      <c r="AR447" t="inlineStr">
        <is>
          <t>No</t>
        </is>
      </c>
      <c r="AS447" t="inlineStr">
        <is>
          <t>Yes</t>
        </is>
      </c>
      <c r="AT447">
        <f>HYPERLINK("http://catalog.hathitrust.org/Record/000469884","HathiTrust Record")</f>
        <v/>
      </c>
      <c r="AU447">
        <f>HYPERLINK("https://creighton-primo.hosted.exlibrisgroup.com/primo-explore/search?tab=default_tab&amp;search_scope=EVERYTHING&amp;vid=01CRU&amp;lang=en_US&amp;offset=0&amp;query=any,contains,991001185989702656","Catalog Record")</f>
        <v/>
      </c>
      <c r="AV447">
        <f>HYPERLINK("http://www.worldcat.org/oclc/11785085","WorldCat Record")</f>
        <v/>
      </c>
      <c r="AW447" t="inlineStr">
        <is>
          <t>289716193:eng</t>
        </is>
      </c>
      <c r="AX447" t="inlineStr">
        <is>
          <t>11785085</t>
        </is>
      </c>
      <c r="AY447" t="inlineStr">
        <is>
          <t>991001185989702656</t>
        </is>
      </c>
      <c r="AZ447" t="inlineStr">
        <is>
          <t>991001185989702656</t>
        </is>
      </c>
      <c r="BA447" t="inlineStr">
        <is>
          <t>2267522230002656</t>
        </is>
      </c>
      <c r="BB447" t="inlineStr">
        <is>
          <t>BOOK</t>
        </is>
      </c>
      <c r="BD447" t="inlineStr">
        <is>
          <t>9780806707013</t>
        </is>
      </c>
      <c r="BE447" t="inlineStr">
        <is>
          <t>30001000309965</t>
        </is>
      </c>
      <c r="BF447" t="inlineStr">
        <is>
          <t>893546433</t>
        </is>
      </c>
    </row>
    <row r="448">
      <c r="A448" t="inlineStr">
        <is>
          <t>No</t>
        </is>
      </c>
      <c r="B448" t="inlineStr">
        <is>
          <t>CUHSL</t>
        </is>
      </c>
      <c r="C448" t="inlineStr">
        <is>
          <t>SHELVES</t>
        </is>
      </c>
      <c r="D448" t="inlineStr">
        <is>
          <t>W 50 G946 1987</t>
        </is>
      </c>
      <c r="E448" t="inlineStr">
        <is>
          <t>0                      W  0050000G  946         1987</t>
        </is>
      </c>
      <c r="F448" t="inlineStr">
        <is>
          <t>Guidelines on the termination of life-sustaining treatment and the care of the dying : a report of the Hastings Center.</t>
        </is>
      </c>
      <c r="H448" t="inlineStr">
        <is>
          <t>No</t>
        </is>
      </c>
      <c r="I448" t="inlineStr">
        <is>
          <t>1</t>
        </is>
      </c>
      <c r="J448" t="inlineStr">
        <is>
          <t>Yes</t>
        </is>
      </c>
      <c r="K448" t="inlineStr">
        <is>
          <t>No</t>
        </is>
      </c>
      <c r="L448" t="inlineStr">
        <is>
          <t>0</t>
        </is>
      </c>
      <c r="N448" t="inlineStr">
        <is>
          <t>Briarcliff, N.Y. : The Center, c1987.</t>
        </is>
      </c>
      <c r="O448" t="inlineStr">
        <is>
          <t>1987</t>
        </is>
      </c>
      <c r="Q448" t="inlineStr">
        <is>
          <t>eng</t>
        </is>
      </c>
      <c r="R448" t="inlineStr">
        <is>
          <t>xxu</t>
        </is>
      </c>
      <c r="T448" t="inlineStr">
        <is>
          <t xml:space="preserve">W  </t>
        </is>
      </c>
      <c r="U448" t="n">
        <v>9</v>
      </c>
      <c r="V448" t="n">
        <v>9</v>
      </c>
      <c r="W448" t="inlineStr">
        <is>
          <t>1998-12-14</t>
        </is>
      </c>
      <c r="X448" t="inlineStr">
        <is>
          <t>1998-12-14</t>
        </is>
      </c>
      <c r="Y448" t="inlineStr">
        <is>
          <t>1987-12-10</t>
        </is>
      </c>
      <c r="Z448" t="inlineStr">
        <is>
          <t>1987-12-10</t>
        </is>
      </c>
      <c r="AA448" t="n">
        <v>784</v>
      </c>
      <c r="AB448" t="n">
        <v>706</v>
      </c>
      <c r="AC448" t="n">
        <v>768</v>
      </c>
      <c r="AD448" t="n">
        <v>4</v>
      </c>
      <c r="AE448" t="n">
        <v>4</v>
      </c>
      <c r="AF448" t="n">
        <v>42</v>
      </c>
      <c r="AG448" t="n">
        <v>44</v>
      </c>
      <c r="AH448" t="n">
        <v>10</v>
      </c>
      <c r="AI448" t="n">
        <v>10</v>
      </c>
      <c r="AJ448" t="n">
        <v>6</v>
      </c>
      <c r="AK448" t="n">
        <v>6</v>
      </c>
      <c r="AL448" t="n">
        <v>15</v>
      </c>
      <c r="AM448" t="n">
        <v>16</v>
      </c>
      <c r="AN448" t="n">
        <v>1</v>
      </c>
      <c r="AO448" t="n">
        <v>1</v>
      </c>
      <c r="AP448" t="n">
        <v>17</v>
      </c>
      <c r="AQ448" t="n">
        <v>18</v>
      </c>
      <c r="AR448" t="inlineStr">
        <is>
          <t>No</t>
        </is>
      </c>
      <c r="AS448" t="inlineStr">
        <is>
          <t>Yes</t>
        </is>
      </c>
      <c r="AT448">
        <f>HYPERLINK("http://catalog.hathitrust.org/Record/000843319","HathiTrust Record")</f>
        <v/>
      </c>
      <c r="AU448">
        <f>HYPERLINK("https://creighton-primo.hosted.exlibrisgroup.com/primo-explore/search?tab=default_tab&amp;search_scope=EVERYTHING&amp;vid=01CRU&amp;lang=en_US&amp;offset=0&amp;query=any,contains,991001533249702656","Catalog Record")</f>
        <v/>
      </c>
      <c r="AV448">
        <f>HYPERLINK("http://www.worldcat.org/oclc/16683299","WorldCat Record")</f>
        <v/>
      </c>
      <c r="AW448" t="inlineStr">
        <is>
          <t>890041276:eng</t>
        </is>
      </c>
      <c r="AX448" t="inlineStr">
        <is>
          <t>16683299</t>
        </is>
      </c>
      <c r="AY448" t="inlineStr">
        <is>
          <t>991001533249702656</t>
        </is>
      </c>
      <c r="AZ448" t="inlineStr">
        <is>
          <t>991001533249702656</t>
        </is>
      </c>
      <c r="BA448" t="inlineStr">
        <is>
          <t>2257157440002656</t>
        </is>
      </c>
      <c r="BB448" t="inlineStr">
        <is>
          <t>BOOK</t>
        </is>
      </c>
      <c r="BD448" t="inlineStr">
        <is>
          <t>9780916558239</t>
        </is>
      </c>
      <c r="BE448" t="inlineStr">
        <is>
          <t>30001000622177</t>
        </is>
      </c>
      <c r="BF448" t="inlineStr">
        <is>
          <t>893638417</t>
        </is>
      </c>
    </row>
    <row r="449">
      <c r="A449" t="inlineStr">
        <is>
          <t>No</t>
        </is>
      </c>
      <c r="B449" t="inlineStr">
        <is>
          <t>CUHSL</t>
        </is>
      </c>
      <c r="C449" t="inlineStr">
        <is>
          <t>SHELVES</t>
        </is>
      </c>
      <c r="D449" t="inlineStr">
        <is>
          <t>W 50 H112k 1989</t>
        </is>
      </c>
      <c r="E449" t="inlineStr">
        <is>
          <t>0                      W  0050000H  112k        1989</t>
        </is>
      </c>
      <c r="F449" t="inlineStr">
        <is>
          <t>Keeping up the good work : a practitioner's guide to mental health ethics / Leonard J. Haas, John L. Malouf.</t>
        </is>
      </c>
      <c r="H449" t="inlineStr">
        <is>
          <t>No</t>
        </is>
      </c>
      <c r="I449" t="inlineStr">
        <is>
          <t>1</t>
        </is>
      </c>
      <c r="J449" t="inlineStr">
        <is>
          <t>No</t>
        </is>
      </c>
      <c r="K449" t="inlineStr">
        <is>
          <t>No</t>
        </is>
      </c>
      <c r="L449" t="inlineStr">
        <is>
          <t>0</t>
        </is>
      </c>
      <c r="M449" t="inlineStr">
        <is>
          <t>Haas, Leonard J.</t>
        </is>
      </c>
      <c r="N449" t="inlineStr">
        <is>
          <t>Sarasota, Fla. : Professional Resource Exchange, c1989.</t>
        </is>
      </c>
      <c r="O449" t="inlineStr">
        <is>
          <t>1989</t>
        </is>
      </c>
      <c r="Q449" t="inlineStr">
        <is>
          <t>eng</t>
        </is>
      </c>
      <c r="R449" t="inlineStr">
        <is>
          <t>flu</t>
        </is>
      </c>
      <c r="T449" t="inlineStr">
        <is>
          <t xml:space="preserve">W  </t>
        </is>
      </c>
      <c r="U449" t="n">
        <v>13</v>
      </c>
      <c r="V449" t="n">
        <v>13</v>
      </c>
      <c r="W449" t="inlineStr">
        <is>
          <t>1997-12-01</t>
        </is>
      </c>
      <c r="X449" t="inlineStr">
        <is>
          <t>1997-12-01</t>
        </is>
      </c>
      <c r="Y449" t="inlineStr">
        <is>
          <t>1989-08-17</t>
        </is>
      </c>
      <c r="Z449" t="inlineStr">
        <is>
          <t>1989-08-17</t>
        </is>
      </c>
      <c r="AA449" t="n">
        <v>132</v>
      </c>
      <c r="AB449" t="n">
        <v>121</v>
      </c>
      <c r="AC449" t="n">
        <v>232</v>
      </c>
      <c r="AD449" t="n">
        <v>1</v>
      </c>
      <c r="AE449" t="n">
        <v>1</v>
      </c>
      <c r="AF449" t="n">
        <v>11</v>
      </c>
      <c r="AG449" t="n">
        <v>19</v>
      </c>
      <c r="AH449" t="n">
        <v>2</v>
      </c>
      <c r="AI449" t="n">
        <v>5</v>
      </c>
      <c r="AJ449" t="n">
        <v>1</v>
      </c>
      <c r="AK449" t="n">
        <v>3</v>
      </c>
      <c r="AL449" t="n">
        <v>9</v>
      </c>
      <c r="AM449" t="n">
        <v>13</v>
      </c>
      <c r="AN449" t="n">
        <v>0</v>
      </c>
      <c r="AO449" t="n">
        <v>0</v>
      </c>
      <c r="AP449" t="n">
        <v>0</v>
      </c>
      <c r="AQ449" t="n">
        <v>2</v>
      </c>
      <c r="AR449" t="inlineStr">
        <is>
          <t>No</t>
        </is>
      </c>
      <c r="AS449" t="inlineStr">
        <is>
          <t>No</t>
        </is>
      </c>
      <c r="AU449">
        <f>HYPERLINK("https://creighton-primo.hosted.exlibrisgroup.com/primo-explore/search?tab=default_tab&amp;search_scope=EVERYTHING&amp;vid=01CRU&amp;lang=en_US&amp;offset=0&amp;query=any,contains,991001313599702656","Catalog Record")</f>
        <v/>
      </c>
      <c r="AV449">
        <f>HYPERLINK("http://www.worldcat.org/oclc/21198231","WorldCat Record")</f>
        <v/>
      </c>
      <c r="AW449" t="inlineStr">
        <is>
          <t>22864369:eng</t>
        </is>
      </c>
      <c r="AX449" t="inlineStr">
        <is>
          <t>21198231</t>
        </is>
      </c>
      <c r="AY449" t="inlineStr">
        <is>
          <t>991001313599702656</t>
        </is>
      </c>
      <c r="AZ449" t="inlineStr">
        <is>
          <t>991001313599702656</t>
        </is>
      </c>
      <c r="BA449" t="inlineStr">
        <is>
          <t>2263867540002656</t>
        </is>
      </c>
      <c r="BB449" t="inlineStr">
        <is>
          <t>BOOK</t>
        </is>
      </c>
      <c r="BD449" t="inlineStr">
        <is>
          <t>9780943158280</t>
        </is>
      </c>
      <c r="BE449" t="inlineStr">
        <is>
          <t>30001001751926</t>
        </is>
      </c>
      <c r="BF449" t="inlineStr">
        <is>
          <t>893168129</t>
        </is>
      </c>
    </row>
    <row r="450">
      <c r="A450" t="inlineStr">
        <is>
          <t>No</t>
        </is>
      </c>
      <c r="B450" t="inlineStr">
        <is>
          <t>CUHSL</t>
        </is>
      </c>
      <c r="C450" t="inlineStr">
        <is>
          <t>SHELVES</t>
        </is>
      </c>
      <c r="D450" t="inlineStr">
        <is>
          <t>W 50 H178h 1990</t>
        </is>
      </c>
      <c r="E450" t="inlineStr">
        <is>
          <t>0                      W  0050000H  178h        1990</t>
        </is>
      </c>
      <c r="F450" t="inlineStr">
        <is>
          <t>Health care law and ethics in a nutshell / by Mark A. Hall and Ira M. Ellman.</t>
        </is>
      </c>
      <c r="H450" t="inlineStr">
        <is>
          <t>No</t>
        </is>
      </c>
      <c r="I450" t="inlineStr">
        <is>
          <t>1</t>
        </is>
      </c>
      <c r="J450" t="inlineStr">
        <is>
          <t>Yes</t>
        </is>
      </c>
      <c r="K450" t="inlineStr">
        <is>
          <t>Yes</t>
        </is>
      </c>
      <c r="L450" t="inlineStr">
        <is>
          <t>0</t>
        </is>
      </c>
      <c r="M450" t="inlineStr">
        <is>
          <t>Hall, Mark A. (Mark Anthony), 1884-1970.</t>
        </is>
      </c>
      <c r="N450" t="inlineStr">
        <is>
          <t>St. Paul, Minn. : West Pub. Co., c1990.</t>
        </is>
      </c>
      <c r="O450" t="inlineStr">
        <is>
          <t>1990</t>
        </is>
      </c>
      <c r="Q450" t="inlineStr">
        <is>
          <t>eng</t>
        </is>
      </c>
      <c r="R450" t="inlineStr">
        <is>
          <t>mnu</t>
        </is>
      </c>
      <c r="S450" t="inlineStr">
        <is>
          <t>West nutshell series</t>
        </is>
      </c>
      <c r="T450" t="inlineStr">
        <is>
          <t xml:space="preserve">W  </t>
        </is>
      </c>
      <c r="U450" t="n">
        <v>36</v>
      </c>
      <c r="V450" t="n">
        <v>49</v>
      </c>
      <c r="W450" t="inlineStr">
        <is>
          <t>2002-09-25</t>
        </is>
      </c>
      <c r="X450" t="inlineStr">
        <is>
          <t>2002-09-25</t>
        </is>
      </c>
      <c r="Y450" t="inlineStr">
        <is>
          <t>1989-11-06</t>
        </is>
      </c>
      <c r="Z450" t="inlineStr">
        <is>
          <t>1991-05-21</t>
        </is>
      </c>
      <c r="AA450" t="n">
        <v>261</v>
      </c>
      <c r="AB450" t="n">
        <v>237</v>
      </c>
      <c r="AC450" t="n">
        <v>641</v>
      </c>
      <c r="AD450" t="n">
        <v>2</v>
      </c>
      <c r="AE450" t="n">
        <v>4</v>
      </c>
      <c r="AF450" t="n">
        <v>18</v>
      </c>
      <c r="AG450" t="n">
        <v>39</v>
      </c>
      <c r="AH450" t="n">
        <v>3</v>
      </c>
      <c r="AI450" t="n">
        <v>8</v>
      </c>
      <c r="AJ450" t="n">
        <v>2</v>
      </c>
      <c r="AK450" t="n">
        <v>4</v>
      </c>
      <c r="AL450" t="n">
        <v>2</v>
      </c>
      <c r="AM450" t="n">
        <v>7</v>
      </c>
      <c r="AN450" t="n">
        <v>0</v>
      </c>
      <c r="AO450" t="n">
        <v>0</v>
      </c>
      <c r="AP450" t="n">
        <v>11</v>
      </c>
      <c r="AQ450" t="n">
        <v>23</v>
      </c>
      <c r="AR450" t="inlineStr">
        <is>
          <t>No</t>
        </is>
      </c>
      <c r="AS450" t="inlineStr">
        <is>
          <t>No</t>
        </is>
      </c>
      <c r="AU450">
        <f>HYPERLINK("https://creighton-primo.hosted.exlibrisgroup.com/primo-explore/search?tab=default_tab&amp;search_scope=EVERYTHING&amp;vid=01CRU&amp;lang=en_US&amp;offset=0&amp;query=any,contains,991001681299702656","Catalog Record")</f>
        <v/>
      </c>
      <c r="AV450">
        <f>HYPERLINK("http://www.worldcat.org/oclc/20422457","WorldCat Record")</f>
        <v/>
      </c>
      <c r="AW450" t="inlineStr">
        <is>
          <t>16470955:eng</t>
        </is>
      </c>
      <c r="AX450" t="inlineStr">
        <is>
          <t>20422457</t>
        </is>
      </c>
      <c r="AY450" t="inlineStr">
        <is>
          <t>991001681299702656</t>
        </is>
      </c>
      <c r="AZ450" t="inlineStr">
        <is>
          <t>991001681299702656</t>
        </is>
      </c>
      <c r="BA450" t="inlineStr">
        <is>
          <t>2264999860002656</t>
        </is>
      </c>
      <c r="BB450" t="inlineStr">
        <is>
          <t>BOOK</t>
        </is>
      </c>
      <c r="BD450" t="inlineStr">
        <is>
          <t>9780314676450</t>
        </is>
      </c>
      <c r="BE450" t="inlineStr">
        <is>
          <t>30001001796533</t>
        </is>
      </c>
      <c r="BF450" t="inlineStr">
        <is>
          <t>893816522</t>
        </is>
      </c>
    </row>
    <row r="451">
      <c r="A451" t="inlineStr">
        <is>
          <t>No</t>
        </is>
      </c>
      <c r="B451" t="inlineStr">
        <is>
          <t>CUHSL</t>
        </is>
      </c>
      <c r="C451" t="inlineStr">
        <is>
          <t>SHELVES</t>
        </is>
      </c>
      <c r="D451" t="inlineStr">
        <is>
          <t>W 50 H4344 1994</t>
        </is>
      </c>
      <c r="E451" t="inlineStr">
        <is>
          <t>0                      W  0050000H  4344        1994</t>
        </is>
      </c>
      <c r="F451" t="inlineStr">
        <is>
          <t>Health care ethics : critical issues / [edited by] John F. Monagle, David C. Thomasma.</t>
        </is>
      </c>
      <c r="H451" t="inlineStr">
        <is>
          <t>No</t>
        </is>
      </c>
      <c r="I451" t="inlineStr">
        <is>
          <t>1</t>
        </is>
      </c>
      <c r="J451" t="inlineStr">
        <is>
          <t>No</t>
        </is>
      </c>
      <c r="K451" t="inlineStr">
        <is>
          <t>Yes</t>
        </is>
      </c>
      <c r="L451" t="inlineStr">
        <is>
          <t>0</t>
        </is>
      </c>
      <c r="N451" t="inlineStr">
        <is>
          <t>Gaithersburg, Md. : Aspen Publishers, c1994.</t>
        </is>
      </c>
      <c r="O451" t="inlineStr">
        <is>
          <t>1994</t>
        </is>
      </c>
      <c r="Q451" t="inlineStr">
        <is>
          <t>eng</t>
        </is>
      </c>
      <c r="R451" t="inlineStr">
        <is>
          <t>mdu</t>
        </is>
      </c>
      <c r="T451" t="inlineStr">
        <is>
          <t xml:space="preserve">W  </t>
        </is>
      </c>
      <c r="U451" t="n">
        <v>66</v>
      </c>
      <c r="V451" t="n">
        <v>66</v>
      </c>
      <c r="W451" t="inlineStr">
        <is>
          <t>2005-10-31</t>
        </is>
      </c>
      <c r="X451" t="inlineStr">
        <is>
          <t>2005-10-31</t>
        </is>
      </c>
      <c r="Y451" t="inlineStr">
        <is>
          <t>1994-03-30</t>
        </is>
      </c>
      <c r="Z451" t="inlineStr">
        <is>
          <t>1994-03-30</t>
        </is>
      </c>
      <c r="AA451" t="n">
        <v>389</v>
      </c>
      <c r="AB451" t="n">
        <v>346</v>
      </c>
      <c r="AC451" t="n">
        <v>608</v>
      </c>
      <c r="AD451" t="n">
        <v>1</v>
      </c>
      <c r="AE451" t="n">
        <v>3</v>
      </c>
      <c r="AF451" t="n">
        <v>20</v>
      </c>
      <c r="AG451" t="n">
        <v>32</v>
      </c>
      <c r="AH451" t="n">
        <v>8</v>
      </c>
      <c r="AI451" t="n">
        <v>13</v>
      </c>
      <c r="AJ451" t="n">
        <v>6</v>
      </c>
      <c r="AK451" t="n">
        <v>8</v>
      </c>
      <c r="AL451" t="n">
        <v>11</v>
      </c>
      <c r="AM451" t="n">
        <v>17</v>
      </c>
      <c r="AN451" t="n">
        <v>0</v>
      </c>
      <c r="AO451" t="n">
        <v>2</v>
      </c>
      <c r="AP451" t="n">
        <v>3</v>
      </c>
      <c r="AQ451" t="n">
        <v>4</v>
      </c>
      <c r="AR451" t="inlineStr">
        <is>
          <t>No</t>
        </is>
      </c>
      <c r="AS451" t="inlineStr">
        <is>
          <t>Yes</t>
        </is>
      </c>
      <c r="AT451">
        <f>HYPERLINK("http://catalog.hathitrust.org/Record/002795623","HathiTrust Record")</f>
        <v/>
      </c>
      <c r="AU451">
        <f>HYPERLINK("https://creighton-primo.hosted.exlibrisgroup.com/primo-explore/search?tab=default_tab&amp;search_scope=EVERYTHING&amp;vid=01CRU&amp;lang=en_US&amp;offset=0&amp;query=any,contains,991001161729702656","Catalog Record")</f>
        <v/>
      </c>
      <c r="AV451">
        <f>HYPERLINK("http://www.worldcat.org/oclc/28749321","WorldCat Record")</f>
        <v/>
      </c>
      <c r="AW451" t="inlineStr">
        <is>
          <t>630639:eng</t>
        </is>
      </c>
      <c r="AX451" t="inlineStr">
        <is>
          <t>28749321</t>
        </is>
      </c>
      <c r="AY451" t="inlineStr">
        <is>
          <t>991001161729702656</t>
        </is>
      </c>
      <c r="AZ451" t="inlineStr">
        <is>
          <t>991001161729702656</t>
        </is>
      </c>
      <c r="BA451" t="inlineStr">
        <is>
          <t>2269509610002656</t>
        </is>
      </c>
      <c r="BB451" t="inlineStr">
        <is>
          <t>BOOK</t>
        </is>
      </c>
      <c r="BE451" t="inlineStr">
        <is>
          <t>30001002974253</t>
        </is>
      </c>
      <c r="BF451" t="inlineStr">
        <is>
          <t>893278785</t>
        </is>
      </c>
    </row>
    <row r="452">
      <c r="A452" t="inlineStr">
        <is>
          <t>No</t>
        </is>
      </c>
      <c r="B452" t="inlineStr">
        <is>
          <t>CUHSL</t>
        </is>
      </c>
      <c r="C452" t="inlineStr">
        <is>
          <t>SHELVES</t>
        </is>
      </c>
      <c r="D452" t="inlineStr">
        <is>
          <t>W 50 H732h 1986</t>
        </is>
      </c>
      <c r="E452" t="inlineStr">
        <is>
          <t>0                      W  0050000H  732h        1986</t>
        </is>
      </c>
      <c r="F452" t="inlineStr">
        <is>
          <t>Health and medicine in the Methodist tradition : journey toward wholeness / E. Brooks Holifield.</t>
        </is>
      </c>
      <c r="H452" t="inlineStr">
        <is>
          <t>No</t>
        </is>
      </c>
      <c r="I452" t="inlineStr">
        <is>
          <t>1</t>
        </is>
      </c>
      <c r="J452" t="inlineStr">
        <is>
          <t>Yes</t>
        </is>
      </c>
      <c r="K452" t="inlineStr">
        <is>
          <t>No</t>
        </is>
      </c>
      <c r="L452" t="inlineStr">
        <is>
          <t>0</t>
        </is>
      </c>
      <c r="M452" t="inlineStr">
        <is>
          <t>Holifield, E. Brooks.</t>
        </is>
      </c>
      <c r="N452" t="inlineStr">
        <is>
          <t>New York : Crossroad, c1986.</t>
        </is>
      </c>
      <c r="O452" t="inlineStr">
        <is>
          <t>1986</t>
        </is>
      </c>
      <c r="Q452" t="inlineStr">
        <is>
          <t>eng</t>
        </is>
      </c>
      <c r="R452" t="inlineStr">
        <is>
          <t>xxu</t>
        </is>
      </c>
      <c r="S452" t="inlineStr">
        <is>
          <t>Health/medicine and the faith traditions</t>
        </is>
      </c>
      <c r="T452" t="inlineStr">
        <is>
          <t xml:space="preserve">W  </t>
        </is>
      </c>
      <c r="U452" t="n">
        <v>5</v>
      </c>
      <c r="V452" t="n">
        <v>5</v>
      </c>
      <c r="W452" t="inlineStr">
        <is>
          <t>1990-12-11</t>
        </is>
      </c>
      <c r="X452" t="inlineStr">
        <is>
          <t>1990-12-11</t>
        </is>
      </c>
      <c r="Y452" t="inlineStr">
        <is>
          <t>1989-03-09</t>
        </is>
      </c>
      <c r="Z452" t="inlineStr">
        <is>
          <t>1989-03-09</t>
        </is>
      </c>
      <c r="AA452" t="n">
        <v>411</v>
      </c>
      <c r="AB452" t="n">
        <v>368</v>
      </c>
      <c r="AC452" t="n">
        <v>388</v>
      </c>
      <c r="AD452" t="n">
        <v>5</v>
      </c>
      <c r="AE452" t="n">
        <v>6</v>
      </c>
      <c r="AF452" t="n">
        <v>23</v>
      </c>
      <c r="AG452" t="n">
        <v>25</v>
      </c>
      <c r="AH452" t="n">
        <v>7</v>
      </c>
      <c r="AI452" t="n">
        <v>8</v>
      </c>
      <c r="AJ452" t="n">
        <v>4</v>
      </c>
      <c r="AK452" t="n">
        <v>5</v>
      </c>
      <c r="AL452" t="n">
        <v>13</v>
      </c>
      <c r="AM452" t="n">
        <v>13</v>
      </c>
      <c r="AN452" t="n">
        <v>3</v>
      </c>
      <c r="AO452" t="n">
        <v>4</v>
      </c>
      <c r="AP452" t="n">
        <v>2</v>
      </c>
      <c r="AQ452" t="n">
        <v>2</v>
      </c>
      <c r="AR452" t="inlineStr">
        <is>
          <t>No</t>
        </is>
      </c>
      <c r="AS452" t="inlineStr">
        <is>
          <t>No</t>
        </is>
      </c>
      <c r="AU452">
        <f>HYPERLINK("https://creighton-primo.hosted.exlibrisgroup.com/primo-explore/search?tab=default_tab&amp;search_scope=EVERYTHING&amp;vid=01CRU&amp;lang=en_US&amp;offset=0&amp;query=any,contains,991001240989702656","Catalog Record")</f>
        <v/>
      </c>
      <c r="AV452">
        <f>HYPERLINK("http://www.worldcat.org/oclc/13947789","WorldCat Record")</f>
        <v/>
      </c>
      <c r="AW452" t="inlineStr">
        <is>
          <t>889440257:eng</t>
        </is>
      </c>
      <c r="AX452" t="inlineStr">
        <is>
          <t>13947789</t>
        </is>
      </c>
      <c r="AY452" t="inlineStr">
        <is>
          <t>991001240989702656</t>
        </is>
      </c>
      <c r="AZ452" t="inlineStr">
        <is>
          <t>991001240989702656</t>
        </is>
      </c>
      <c r="BA452" t="inlineStr">
        <is>
          <t>2267085010002656</t>
        </is>
      </c>
      <c r="BB452" t="inlineStr">
        <is>
          <t>BOOK</t>
        </is>
      </c>
      <c r="BD452" t="inlineStr">
        <is>
          <t>9780824507923</t>
        </is>
      </c>
      <c r="BE452" t="inlineStr">
        <is>
          <t>30001001675661</t>
        </is>
      </c>
      <c r="BF452" t="inlineStr">
        <is>
          <t>893374386</t>
        </is>
      </c>
    </row>
    <row r="453">
      <c r="A453" t="inlineStr">
        <is>
          <t>No</t>
        </is>
      </c>
      <c r="B453" t="inlineStr">
        <is>
          <t>CUHSL</t>
        </is>
      </c>
      <c r="C453" t="inlineStr">
        <is>
          <t>SHELVES</t>
        </is>
      </c>
      <c r="D453" t="inlineStr">
        <is>
          <t>W 50 H843w 1970</t>
        </is>
      </c>
      <c r="E453" t="inlineStr">
        <is>
          <t>0                      W  0050000H  843w        1970</t>
        </is>
      </c>
      <c r="F453" t="inlineStr">
        <is>
          <t>Who shall live : medicine, technology, ethics / edited by Kenneth Vaux.</t>
        </is>
      </c>
      <c r="H453" t="inlineStr">
        <is>
          <t>No</t>
        </is>
      </c>
      <c r="I453" t="inlineStr">
        <is>
          <t>1</t>
        </is>
      </c>
      <c r="J453" t="inlineStr">
        <is>
          <t>No</t>
        </is>
      </c>
      <c r="K453" t="inlineStr">
        <is>
          <t>No</t>
        </is>
      </c>
      <c r="L453" t="inlineStr">
        <is>
          <t>0</t>
        </is>
      </c>
      <c r="M453" t="inlineStr">
        <is>
          <t>Houston Conference on Ethics in Medicine and Technology (1968)</t>
        </is>
      </c>
      <c r="N453" t="inlineStr">
        <is>
          <t>Philadelphia : Fortress Press, c1970.</t>
        </is>
      </c>
      <c r="O453" t="inlineStr">
        <is>
          <t>1970</t>
        </is>
      </c>
      <c r="Q453" t="inlineStr">
        <is>
          <t>eng</t>
        </is>
      </c>
      <c r="R453" t="inlineStr">
        <is>
          <t>pau</t>
        </is>
      </c>
      <c r="T453" t="inlineStr">
        <is>
          <t xml:space="preserve">W  </t>
        </is>
      </c>
      <c r="U453" t="n">
        <v>5</v>
      </c>
      <c r="V453" t="n">
        <v>5</v>
      </c>
      <c r="W453" t="inlineStr">
        <is>
          <t>1996-05-10</t>
        </is>
      </c>
      <c r="X453" t="inlineStr">
        <is>
          <t>1996-05-10</t>
        </is>
      </c>
      <c r="Y453" t="inlineStr">
        <is>
          <t>1988-07-13</t>
        </is>
      </c>
      <c r="Z453" t="inlineStr">
        <is>
          <t>1988-07-13</t>
        </is>
      </c>
      <c r="AA453" t="n">
        <v>564</v>
      </c>
      <c r="AB453" t="n">
        <v>484</v>
      </c>
      <c r="AC453" t="n">
        <v>493</v>
      </c>
      <c r="AD453" t="n">
        <v>3</v>
      </c>
      <c r="AE453" t="n">
        <v>3</v>
      </c>
      <c r="AF453" t="n">
        <v>24</v>
      </c>
      <c r="AG453" t="n">
        <v>24</v>
      </c>
      <c r="AH453" t="n">
        <v>6</v>
      </c>
      <c r="AI453" t="n">
        <v>6</v>
      </c>
      <c r="AJ453" t="n">
        <v>4</v>
      </c>
      <c r="AK453" t="n">
        <v>4</v>
      </c>
      <c r="AL453" t="n">
        <v>12</v>
      </c>
      <c r="AM453" t="n">
        <v>12</v>
      </c>
      <c r="AN453" t="n">
        <v>1</v>
      </c>
      <c r="AO453" t="n">
        <v>1</v>
      </c>
      <c r="AP453" t="n">
        <v>3</v>
      </c>
      <c r="AQ453" t="n">
        <v>3</v>
      </c>
      <c r="AR453" t="inlineStr">
        <is>
          <t>No</t>
        </is>
      </c>
      <c r="AS453" t="inlineStr">
        <is>
          <t>Yes</t>
        </is>
      </c>
      <c r="AT453">
        <f>HYPERLINK("http://catalog.hathitrust.org/Record/001557852","HathiTrust Record")</f>
        <v/>
      </c>
      <c r="AU453">
        <f>HYPERLINK("https://creighton-primo.hosted.exlibrisgroup.com/primo-explore/search?tab=default_tab&amp;search_scope=EVERYTHING&amp;vid=01CRU&amp;lang=en_US&amp;offset=0&amp;query=any,contains,991001326959702656","Catalog Record")</f>
        <v/>
      </c>
      <c r="AV453">
        <f>HYPERLINK("http://www.worldcat.org/oclc/58511","WorldCat Record")</f>
        <v/>
      </c>
      <c r="AW453" t="inlineStr">
        <is>
          <t>1956124637:eng</t>
        </is>
      </c>
      <c r="AX453" t="inlineStr">
        <is>
          <t>58511</t>
        </is>
      </c>
      <c r="AY453" t="inlineStr">
        <is>
          <t>991001326959702656</t>
        </is>
      </c>
      <c r="AZ453" t="inlineStr">
        <is>
          <t>991001326959702656</t>
        </is>
      </c>
      <c r="BA453" t="inlineStr">
        <is>
          <t>2260091660002656</t>
        </is>
      </c>
      <c r="BB453" t="inlineStr">
        <is>
          <t>BOOK</t>
        </is>
      </c>
      <c r="BE453" t="inlineStr">
        <is>
          <t>30001001088014</t>
        </is>
      </c>
      <c r="BF453" t="inlineStr">
        <is>
          <t>893557822</t>
        </is>
      </c>
    </row>
    <row r="454">
      <c r="A454" t="inlineStr">
        <is>
          <t>No</t>
        </is>
      </c>
      <c r="B454" t="inlineStr">
        <is>
          <t>CUHSL</t>
        </is>
      </c>
      <c r="C454" t="inlineStr">
        <is>
          <t>SHELVES</t>
        </is>
      </c>
      <c r="D454" t="inlineStr">
        <is>
          <t>W 50 H891d 1989</t>
        </is>
      </c>
      <c r="E454" t="inlineStr">
        <is>
          <t>0                      W  0050000H  891d        1989</t>
        </is>
      </c>
      <c r="F454" t="inlineStr">
        <is>
          <t>Dimensions of the healing ministry / James E. Hug in association with the Center of Concern.</t>
        </is>
      </c>
      <c r="H454" t="inlineStr">
        <is>
          <t>No</t>
        </is>
      </c>
      <c r="I454" t="inlineStr">
        <is>
          <t>1</t>
        </is>
      </c>
      <c r="J454" t="inlineStr">
        <is>
          <t>Yes</t>
        </is>
      </c>
      <c r="K454" t="inlineStr">
        <is>
          <t>No</t>
        </is>
      </c>
      <c r="L454" t="inlineStr">
        <is>
          <t>0</t>
        </is>
      </c>
      <c r="M454" t="inlineStr">
        <is>
          <t>Hug, James E.</t>
        </is>
      </c>
      <c r="N454" t="inlineStr">
        <is>
          <t>St. Louis, MO : Catholic Health Association of the United States, c1989.</t>
        </is>
      </c>
      <c r="O454" t="inlineStr">
        <is>
          <t>1989</t>
        </is>
      </c>
      <c r="Q454" t="inlineStr">
        <is>
          <t>eng</t>
        </is>
      </c>
      <c r="R454" t="inlineStr">
        <is>
          <t>xxu</t>
        </is>
      </c>
      <c r="T454" t="inlineStr">
        <is>
          <t xml:space="preserve">W  </t>
        </is>
      </c>
      <c r="U454" t="n">
        <v>5</v>
      </c>
      <c r="V454" t="n">
        <v>5</v>
      </c>
      <c r="W454" t="inlineStr">
        <is>
          <t>2006-03-28</t>
        </is>
      </c>
      <c r="X454" t="inlineStr">
        <is>
          <t>2006-03-28</t>
        </is>
      </c>
      <c r="Y454" t="inlineStr">
        <is>
          <t>1990-01-30</t>
        </is>
      </c>
      <c r="Z454" t="inlineStr">
        <is>
          <t>1990-01-30</t>
        </is>
      </c>
      <c r="AA454" t="n">
        <v>74</v>
      </c>
      <c r="AB454" t="n">
        <v>64</v>
      </c>
      <c r="AC454" t="n">
        <v>66</v>
      </c>
      <c r="AD454" t="n">
        <v>2</v>
      </c>
      <c r="AE454" t="n">
        <v>2</v>
      </c>
      <c r="AF454" t="n">
        <v>10</v>
      </c>
      <c r="AG454" t="n">
        <v>10</v>
      </c>
      <c r="AH454" t="n">
        <v>3</v>
      </c>
      <c r="AI454" t="n">
        <v>3</v>
      </c>
      <c r="AJ454" t="n">
        <v>2</v>
      </c>
      <c r="AK454" t="n">
        <v>2</v>
      </c>
      <c r="AL454" t="n">
        <v>8</v>
      </c>
      <c r="AM454" t="n">
        <v>8</v>
      </c>
      <c r="AN454" t="n">
        <v>0</v>
      </c>
      <c r="AO454" t="n">
        <v>0</v>
      </c>
      <c r="AP454" t="n">
        <v>0</v>
      </c>
      <c r="AQ454" t="n">
        <v>0</v>
      </c>
      <c r="AR454" t="inlineStr">
        <is>
          <t>No</t>
        </is>
      </c>
      <c r="AS454" t="inlineStr">
        <is>
          <t>Yes</t>
        </is>
      </c>
      <c r="AT454">
        <f>HYPERLINK("http://catalog.hathitrust.org/Record/010377032","HathiTrust Record")</f>
        <v/>
      </c>
      <c r="AU454">
        <f>HYPERLINK("https://creighton-primo.hosted.exlibrisgroup.com/primo-explore/search?tab=default_tab&amp;search_scope=EVERYTHING&amp;vid=01CRU&amp;lang=en_US&amp;offset=0&amp;query=any,contains,991001445699702656","Catalog Record")</f>
        <v/>
      </c>
      <c r="AV454">
        <f>HYPERLINK("http://www.worldcat.org/oclc/19352615","WorldCat Record")</f>
        <v/>
      </c>
      <c r="AW454" t="inlineStr">
        <is>
          <t>21123928:eng</t>
        </is>
      </c>
      <c r="AX454" t="inlineStr">
        <is>
          <t>19352615</t>
        </is>
      </c>
      <c r="AY454" t="inlineStr">
        <is>
          <t>991001445699702656</t>
        </is>
      </c>
      <c r="AZ454" t="inlineStr">
        <is>
          <t>991001445699702656</t>
        </is>
      </c>
      <c r="BA454" t="inlineStr">
        <is>
          <t>2264178140002656</t>
        </is>
      </c>
      <c r="BB454" t="inlineStr">
        <is>
          <t>BOOK</t>
        </is>
      </c>
      <c r="BD454" t="inlineStr">
        <is>
          <t>9780871251701</t>
        </is>
      </c>
      <c r="BE454" t="inlineStr">
        <is>
          <t>30001001880444</t>
        </is>
      </c>
      <c r="BF454" t="inlineStr">
        <is>
          <t>893451214</t>
        </is>
      </c>
    </row>
    <row r="455">
      <c r="A455" t="inlineStr">
        <is>
          <t>No</t>
        </is>
      </c>
      <c r="B455" t="inlineStr">
        <is>
          <t>CUHSL</t>
        </is>
      </c>
      <c r="C455" t="inlineStr">
        <is>
          <t>SHELVES</t>
        </is>
      </c>
      <c r="D455" t="inlineStr">
        <is>
          <t>W 50 I43g 1984</t>
        </is>
      </c>
      <c r="E455" t="inlineStr">
        <is>
          <t>0                      W  0050000I  43g         1984</t>
        </is>
      </c>
      <c r="F455" t="inlineStr">
        <is>
          <t>Guidelines for infant bioethics committees.</t>
        </is>
      </c>
      <c r="H455" t="inlineStr">
        <is>
          <t>No</t>
        </is>
      </c>
      <c r="I455" t="inlineStr">
        <is>
          <t>1</t>
        </is>
      </c>
      <c r="J455" t="inlineStr">
        <is>
          <t>No</t>
        </is>
      </c>
      <c r="K455" t="inlineStr">
        <is>
          <t>No</t>
        </is>
      </c>
      <c r="L455" t="inlineStr">
        <is>
          <t>0</t>
        </is>
      </c>
      <c r="M455" t="inlineStr">
        <is>
          <t>Infant Bioethics Task Foce and Consultants.</t>
        </is>
      </c>
      <c r="N455" t="inlineStr">
        <is>
          <t>Elk Grove Village, IL : Allen Press, Inc., 1984.</t>
        </is>
      </c>
      <c r="O455" t="inlineStr">
        <is>
          <t>1984</t>
        </is>
      </c>
      <c r="Q455" t="inlineStr">
        <is>
          <t>eng</t>
        </is>
      </c>
      <c r="R455" t="inlineStr">
        <is>
          <t>xxu</t>
        </is>
      </c>
      <c r="S455" t="inlineStr">
        <is>
          <t>Pediatrics ; v. 14, no. 2</t>
        </is>
      </c>
      <c r="T455" t="inlineStr">
        <is>
          <t xml:space="preserve">W  </t>
        </is>
      </c>
      <c r="U455" t="n">
        <v>4</v>
      </c>
      <c r="V455" t="n">
        <v>4</v>
      </c>
      <c r="W455" t="inlineStr">
        <is>
          <t>1997-11-23</t>
        </is>
      </c>
      <c r="X455" t="inlineStr">
        <is>
          <t>1997-11-23</t>
        </is>
      </c>
      <c r="Y455" t="inlineStr">
        <is>
          <t>1987-12-31</t>
        </is>
      </c>
      <c r="Z455" t="inlineStr">
        <is>
          <t>1987-12-31</t>
        </is>
      </c>
      <c r="AA455" t="n">
        <v>2</v>
      </c>
      <c r="AB455" t="n">
        <v>2</v>
      </c>
      <c r="AC455" t="n">
        <v>2</v>
      </c>
      <c r="AD455" t="n">
        <v>1</v>
      </c>
      <c r="AE455" t="n">
        <v>1</v>
      </c>
      <c r="AF455" t="n">
        <v>0</v>
      </c>
      <c r="AG455" t="n">
        <v>0</v>
      </c>
      <c r="AH455" t="n">
        <v>0</v>
      </c>
      <c r="AI455" t="n">
        <v>0</v>
      </c>
      <c r="AJ455" t="n">
        <v>0</v>
      </c>
      <c r="AK455" t="n">
        <v>0</v>
      </c>
      <c r="AL455" t="n">
        <v>0</v>
      </c>
      <c r="AM455" t="n">
        <v>0</v>
      </c>
      <c r="AN455" t="n">
        <v>0</v>
      </c>
      <c r="AO455" t="n">
        <v>0</v>
      </c>
      <c r="AP455" t="n">
        <v>0</v>
      </c>
      <c r="AQ455" t="n">
        <v>0</v>
      </c>
      <c r="AR455" t="inlineStr">
        <is>
          <t>No</t>
        </is>
      </c>
      <c r="AS455" t="inlineStr">
        <is>
          <t>No</t>
        </is>
      </c>
      <c r="AU455">
        <f>HYPERLINK("https://creighton-primo.hosted.exlibrisgroup.com/primo-explore/search?tab=default_tab&amp;search_scope=EVERYTHING&amp;vid=01CRU&amp;lang=en_US&amp;offset=0&amp;query=any,contains,991001277049702656","Catalog Record")</f>
        <v/>
      </c>
      <c r="AV455">
        <f>HYPERLINK("http://www.worldcat.org/oclc/16465541","WorldCat Record")</f>
        <v/>
      </c>
      <c r="AW455" t="inlineStr">
        <is>
          <t>12177240:eng</t>
        </is>
      </c>
      <c r="AX455" t="inlineStr">
        <is>
          <t>16465541</t>
        </is>
      </c>
      <c r="AY455" t="inlineStr">
        <is>
          <t>991001277049702656</t>
        </is>
      </c>
      <c r="AZ455" t="inlineStr">
        <is>
          <t>991001277049702656</t>
        </is>
      </c>
      <c r="BA455" t="inlineStr">
        <is>
          <t>2269255620002656</t>
        </is>
      </c>
      <c r="BB455" t="inlineStr">
        <is>
          <t>BOOK</t>
        </is>
      </c>
      <c r="BE455" t="inlineStr">
        <is>
          <t>30001000359812</t>
        </is>
      </c>
      <c r="BF455" t="inlineStr">
        <is>
          <t>893284625</t>
        </is>
      </c>
    </row>
    <row r="456">
      <c r="A456" t="inlineStr">
        <is>
          <t>No</t>
        </is>
      </c>
      <c r="B456" t="inlineStr">
        <is>
          <t>CUHSL</t>
        </is>
      </c>
      <c r="C456" t="inlineStr">
        <is>
          <t>SHELVES</t>
        </is>
      </c>
      <c r="D456" t="inlineStr">
        <is>
          <t>W 50 I607 1996</t>
        </is>
      </c>
      <c r="E456" t="inlineStr">
        <is>
          <t>0                      W  0050000I  607         1996</t>
        </is>
      </c>
      <c r="F456" t="inlineStr">
        <is>
          <t>Intending death : the ethics of assisted suicide and euthanasia / edited by Tom L. Beauchamp.</t>
        </is>
      </c>
      <c r="H456" t="inlineStr">
        <is>
          <t>No</t>
        </is>
      </c>
      <c r="I456" t="inlineStr">
        <is>
          <t>1</t>
        </is>
      </c>
      <c r="J456" t="inlineStr">
        <is>
          <t>No</t>
        </is>
      </c>
      <c r="K456" t="inlineStr">
        <is>
          <t>No</t>
        </is>
      </c>
      <c r="L456" t="inlineStr">
        <is>
          <t>0</t>
        </is>
      </c>
      <c r="N456" t="inlineStr">
        <is>
          <t>Upper Saddle River, N.J. : Prentice Hall, c1996.</t>
        </is>
      </c>
      <c r="O456" t="inlineStr">
        <is>
          <t>1996</t>
        </is>
      </c>
      <c r="Q456" t="inlineStr">
        <is>
          <t>eng</t>
        </is>
      </c>
      <c r="R456" t="inlineStr">
        <is>
          <t>nju</t>
        </is>
      </c>
      <c r="T456" t="inlineStr">
        <is>
          <t xml:space="preserve">W  </t>
        </is>
      </c>
      <c r="U456" t="n">
        <v>21</v>
      </c>
      <c r="V456" t="n">
        <v>21</v>
      </c>
      <c r="W456" t="inlineStr">
        <is>
          <t>2004-11-27</t>
        </is>
      </c>
      <c r="X456" t="inlineStr">
        <is>
          <t>2004-11-27</t>
        </is>
      </c>
      <c r="Y456" t="inlineStr">
        <is>
          <t>1998-01-16</t>
        </is>
      </c>
      <c r="Z456" t="inlineStr">
        <is>
          <t>1998-01-16</t>
        </is>
      </c>
      <c r="AA456" t="n">
        <v>412</v>
      </c>
      <c r="AB456" t="n">
        <v>329</v>
      </c>
      <c r="AC456" t="n">
        <v>343</v>
      </c>
      <c r="AD456" t="n">
        <v>2</v>
      </c>
      <c r="AE456" t="n">
        <v>2</v>
      </c>
      <c r="AF456" t="n">
        <v>20</v>
      </c>
      <c r="AG456" t="n">
        <v>21</v>
      </c>
      <c r="AH456" t="n">
        <v>7</v>
      </c>
      <c r="AI456" t="n">
        <v>7</v>
      </c>
      <c r="AJ456" t="n">
        <v>5</v>
      </c>
      <c r="AK456" t="n">
        <v>6</v>
      </c>
      <c r="AL456" t="n">
        <v>11</v>
      </c>
      <c r="AM456" t="n">
        <v>12</v>
      </c>
      <c r="AN456" t="n">
        <v>1</v>
      </c>
      <c r="AO456" t="n">
        <v>1</v>
      </c>
      <c r="AP456" t="n">
        <v>2</v>
      </c>
      <c r="AQ456" t="n">
        <v>2</v>
      </c>
      <c r="AR456" t="inlineStr">
        <is>
          <t>No</t>
        </is>
      </c>
      <c r="AS456" t="inlineStr">
        <is>
          <t>Yes</t>
        </is>
      </c>
      <c r="AT456">
        <f>HYPERLINK("http://catalog.hathitrust.org/Record/003004029","HathiTrust Record")</f>
        <v/>
      </c>
      <c r="AU456">
        <f>HYPERLINK("https://creighton-primo.hosted.exlibrisgroup.com/primo-explore/search?tab=default_tab&amp;search_scope=EVERYTHING&amp;vid=01CRU&amp;lang=en_US&amp;offset=0&amp;query=any,contains,991001564639702656","Catalog Record")</f>
        <v/>
      </c>
      <c r="AV456">
        <f>HYPERLINK("http://www.worldcat.org/oclc/32051619","WorldCat Record")</f>
        <v/>
      </c>
      <c r="AW456" t="inlineStr">
        <is>
          <t>837027996:eng</t>
        </is>
      </c>
      <c r="AX456" t="inlineStr">
        <is>
          <t>32051619</t>
        </is>
      </c>
      <c r="AY456" t="inlineStr">
        <is>
          <t>991001564639702656</t>
        </is>
      </c>
      <c r="AZ456" t="inlineStr">
        <is>
          <t>991001564639702656</t>
        </is>
      </c>
      <c r="BA456" t="inlineStr">
        <is>
          <t>2270170110002656</t>
        </is>
      </c>
      <c r="BB456" t="inlineStr">
        <is>
          <t>BOOK</t>
        </is>
      </c>
      <c r="BD456" t="inlineStr">
        <is>
          <t>9780131995550</t>
        </is>
      </c>
      <c r="BE456" t="inlineStr">
        <is>
          <t>30001003664853</t>
        </is>
      </c>
      <c r="BF456" t="inlineStr">
        <is>
          <t>893541514</t>
        </is>
      </c>
    </row>
    <row r="457">
      <c r="A457" t="inlineStr">
        <is>
          <t>No</t>
        </is>
      </c>
      <c r="B457" t="inlineStr">
        <is>
          <t>CUHSL</t>
        </is>
      </c>
      <c r="C457" t="inlineStr">
        <is>
          <t>SHELVES</t>
        </is>
      </c>
      <c r="D457" t="inlineStr">
        <is>
          <t>W50  I618 2000</t>
        </is>
      </c>
      <c r="E457" t="inlineStr">
        <is>
          <t>0                      W  0050000I  618         2000</t>
        </is>
      </c>
      <c r="F457" t="inlineStr">
        <is>
          <t>Intervention and reflection : basic issues in medical ethics / [compiled by] Ronald Munson, with the assistance of Miriam Munson.</t>
        </is>
      </c>
      <c r="H457" t="inlineStr">
        <is>
          <t>No</t>
        </is>
      </c>
      <c r="I457" t="inlineStr">
        <is>
          <t>1</t>
        </is>
      </c>
      <c r="J457" t="inlineStr">
        <is>
          <t>No</t>
        </is>
      </c>
      <c r="K457" t="inlineStr">
        <is>
          <t>Yes</t>
        </is>
      </c>
      <c r="L457" t="inlineStr">
        <is>
          <t>0</t>
        </is>
      </c>
      <c r="N457" t="inlineStr">
        <is>
          <t>Belmont, CA : Wadsworth, c2000.</t>
        </is>
      </c>
      <c r="O457" t="inlineStr">
        <is>
          <t>2000</t>
        </is>
      </c>
      <c r="P457" t="inlineStr">
        <is>
          <t>6th ed.</t>
        </is>
      </c>
      <c r="Q457" t="inlineStr">
        <is>
          <t>eng</t>
        </is>
      </c>
      <c r="R457" t="inlineStr">
        <is>
          <t>cau</t>
        </is>
      </c>
      <c r="T457" t="inlineStr">
        <is>
          <t xml:space="preserve">W  </t>
        </is>
      </c>
      <c r="U457" t="n">
        <v>8</v>
      </c>
      <c r="V457" t="n">
        <v>8</v>
      </c>
      <c r="W457" t="inlineStr">
        <is>
          <t>2005-04-21</t>
        </is>
      </c>
      <c r="X457" t="inlineStr">
        <is>
          <t>2005-04-21</t>
        </is>
      </c>
      <c r="Y457" t="inlineStr">
        <is>
          <t>2003-03-25</t>
        </is>
      </c>
      <c r="Z457" t="inlineStr">
        <is>
          <t>2003-03-25</t>
        </is>
      </c>
      <c r="AA457" t="n">
        <v>228</v>
      </c>
      <c r="AB457" t="n">
        <v>180</v>
      </c>
      <c r="AC457" t="n">
        <v>934</v>
      </c>
      <c r="AD457" t="n">
        <v>2</v>
      </c>
      <c r="AE457" t="n">
        <v>9</v>
      </c>
      <c r="AF457" t="n">
        <v>14</v>
      </c>
      <c r="AG457" t="n">
        <v>49</v>
      </c>
      <c r="AH457" t="n">
        <v>4</v>
      </c>
      <c r="AI457" t="n">
        <v>17</v>
      </c>
      <c r="AJ457" t="n">
        <v>5</v>
      </c>
      <c r="AK457" t="n">
        <v>10</v>
      </c>
      <c r="AL457" t="n">
        <v>7</v>
      </c>
      <c r="AM457" t="n">
        <v>23</v>
      </c>
      <c r="AN457" t="n">
        <v>1</v>
      </c>
      <c r="AO457" t="n">
        <v>6</v>
      </c>
      <c r="AP457" t="n">
        <v>1</v>
      </c>
      <c r="AQ457" t="n">
        <v>4</v>
      </c>
      <c r="AR457" t="inlineStr">
        <is>
          <t>No</t>
        </is>
      </c>
      <c r="AS457" t="inlineStr">
        <is>
          <t>Yes</t>
        </is>
      </c>
      <c r="AT457">
        <f>HYPERLINK("http://catalog.hathitrust.org/Record/003619549","HathiTrust Record")</f>
        <v/>
      </c>
      <c r="AU457">
        <f>HYPERLINK("https://creighton-primo.hosted.exlibrisgroup.com/primo-explore/search?tab=default_tab&amp;search_scope=EVERYTHING&amp;vid=01CRU&amp;lang=en_US&amp;offset=0&amp;query=any,contains,991000342539702656","Catalog Record")</f>
        <v/>
      </c>
      <c r="AV457">
        <f>HYPERLINK("http://www.worldcat.org/oclc/40869749","WorldCat Record")</f>
        <v/>
      </c>
      <c r="AW457" t="inlineStr">
        <is>
          <t>4921836418:eng</t>
        </is>
      </c>
      <c r="AX457" t="inlineStr">
        <is>
          <t>40869749</t>
        </is>
      </c>
      <c r="AY457" t="inlineStr">
        <is>
          <t>991000342539702656</t>
        </is>
      </c>
      <c r="AZ457" t="inlineStr">
        <is>
          <t>991000342539702656</t>
        </is>
      </c>
      <c r="BA457" t="inlineStr">
        <is>
          <t>2269474040002656</t>
        </is>
      </c>
      <c r="BB457" t="inlineStr">
        <is>
          <t>BOOK</t>
        </is>
      </c>
      <c r="BD457" t="inlineStr">
        <is>
          <t>9780534520397</t>
        </is>
      </c>
      <c r="BE457" t="inlineStr">
        <is>
          <t>30001004503795</t>
        </is>
      </c>
      <c r="BF457" t="inlineStr">
        <is>
          <t>893547725</t>
        </is>
      </c>
    </row>
    <row r="458">
      <c r="A458" t="inlineStr">
        <is>
          <t>No</t>
        </is>
      </c>
      <c r="B458" t="inlineStr">
        <is>
          <t>CUHSL</t>
        </is>
      </c>
      <c r="C458" t="inlineStr">
        <is>
          <t>SHELVES</t>
        </is>
      </c>
      <c r="D458" t="inlineStr">
        <is>
          <t>W 50 I619 1997</t>
        </is>
      </c>
      <c r="E458" t="inlineStr">
        <is>
          <t>0                      W  0050000I  619         1997</t>
        </is>
      </c>
      <c r="F458" t="inlineStr">
        <is>
          <t>Introduction to clinical ethics / general editors, John C. Fletcher ... [et al.] ; contributing authors, Robert Boyle ... [et al.].</t>
        </is>
      </c>
      <c r="H458" t="inlineStr">
        <is>
          <t>No</t>
        </is>
      </c>
      <c r="I458" t="inlineStr">
        <is>
          <t>1</t>
        </is>
      </c>
      <c r="J458" t="inlineStr">
        <is>
          <t>No</t>
        </is>
      </c>
      <c r="K458" t="inlineStr">
        <is>
          <t>No</t>
        </is>
      </c>
      <c r="L458" t="inlineStr">
        <is>
          <t>0</t>
        </is>
      </c>
      <c r="N458" t="inlineStr">
        <is>
          <t>Frederick, Md. : University Pub. Group, c1997.</t>
        </is>
      </c>
      <c r="O458" t="inlineStr">
        <is>
          <t>1997</t>
        </is>
      </c>
      <c r="P458" t="inlineStr">
        <is>
          <t>2nd ed.</t>
        </is>
      </c>
      <c r="Q458" t="inlineStr">
        <is>
          <t>eng</t>
        </is>
      </c>
      <c r="R458" t="inlineStr">
        <is>
          <t>mdu</t>
        </is>
      </c>
      <c r="T458" t="inlineStr">
        <is>
          <t xml:space="preserve">W  </t>
        </is>
      </c>
      <c r="U458" t="n">
        <v>84</v>
      </c>
      <c r="V458" t="n">
        <v>84</v>
      </c>
      <c r="W458" t="inlineStr">
        <is>
          <t>2006-07-25</t>
        </is>
      </c>
      <c r="X458" t="inlineStr">
        <is>
          <t>2006-07-25</t>
        </is>
      </c>
      <c r="Y458" t="inlineStr">
        <is>
          <t>1998-09-03</t>
        </is>
      </c>
      <c r="Z458" t="inlineStr">
        <is>
          <t>1998-09-03</t>
        </is>
      </c>
      <c r="AA458" t="n">
        <v>85</v>
      </c>
      <c r="AB458" t="n">
        <v>77</v>
      </c>
      <c r="AC458" t="n">
        <v>122</v>
      </c>
      <c r="AD458" t="n">
        <v>1</v>
      </c>
      <c r="AE458" t="n">
        <v>1</v>
      </c>
      <c r="AF458" t="n">
        <v>2</v>
      </c>
      <c r="AG458" t="n">
        <v>3</v>
      </c>
      <c r="AH458" t="n">
        <v>1</v>
      </c>
      <c r="AI458" t="n">
        <v>1</v>
      </c>
      <c r="AJ458" t="n">
        <v>0</v>
      </c>
      <c r="AK458" t="n">
        <v>0</v>
      </c>
      <c r="AL458" t="n">
        <v>1</v>
      </c>
      <c r="AM458" t="n">
        <v>2</v>
      </c>
      <c r="AN458" t="n">
        <v>0</v>
      </c>
      <c r="AO458" t="n">
        <v>0</v>
      </c>
      <c r="AP458" t="n">
        <v>0</v>
      </c>
      <c r="AQ458" t="n">
        <v>0</v>
      </c>
      <c r="AR458" t="inlineStr">
        <is>
          <t>No</t>
        </is>
      </c>
      <c r="AS458" t="inlineStr">
        <is>
          <t>No</t>
        </is>
      </c>
      <c r="AU458">
        <f>HYPERLINK("https://creighton-primo.hosted.exlibrisgroup.com/primo-explore/search?tab=default_tab&amp;search_scope=EVERYTHING&amp;vid=01CRU&amp;lang=en_US&amp;offset=0&amp;query=any,contains,991000749809702656","Catalog Record")</f>
        <v/>
      </c>
      <c r="AV458">
        <f>HYPERLINK("http://www.worldcat.org/oclc/38889388","WorldCat Record")</f>
        <v/>
      </c>
      <c r="AW458" t="inlineStr">
        <is>
          <t>55461351:eng</t>
        </is>
      </c>
      <c r="AX458" t="inlineStr">
        <is>
          <t>38889388</t>
        </is>
      </c>
      <c r="AY458" t="inlineStr">
        <is>
          <t>991000749809702656</t>
        </is>
      </c>
      <c r="AZ458" t="inlineStr">
        <is>
          <t>991000749809702656</t>
        </is>
      </c>
      <c r="BA458" t="inlineStr">
        <is>
          <t>2256680480002656</t>
        </is>
      </c>
      <c r="BB458" t="inlineStr">
        <is>
          <t>BOOK</t>
        </is>
      </c>
      <c r="BD458" t="inlineStr">
        <is>
          <t>9781555720506</t>
        </is>
      </c>
      <c r="BE458" t="inlineStr">
        <is>
          <t>30001004057446</t>
        </is>
      </c>
      <c r="BF458" t="inlineStr">
        <is>
          <t>893731064</t>
        </is>
      </c>
    </row>
    <row r="459">
      <c r="A459" t="inlineStr">
        <is>
          <t>No</t>
        </is>
      </c>
      <c r="B459" t="inlineStr">
        <is>
          <t>CUHSL</t>
        </is>
      </c>
      <c r="C459" t="inlineStr">
        <is>
          <t>SHELVES</t>
        </is>
      </c>
      <c r="D459" t="inlineStr">
        <is>
          <t>W 50 I61p 1987</t>
        </is>
      </c>
      <c r="E459" t="inlineStr">
        <is>
          <t>0                      W  0050000I  61p         1987</t>
        </is>
      </c>
      <c r="F459" t="inlineStr">
        <is>
          <t>Proceedings of the International Congress on Ethics in Medicine, June, 1987 co-sponsored by Beth Israel Medical Center, New York, NY, U.S.A., Ben-Gurion University of the Negev, Beersheva, Israel, [and] the Karolinska Institute, Stockholm, Sweden.</t>
        </is>
      </c>
      <c r="H459" t="inlineStr">
        <is>
          <t>No</t>
        </is>
      </c>
      <c r="I459" t="inlineStr">
        <is>
          <t>1</t>
        </is>
      </c>
      <c r="J459" t="inlineStr">
        <is>
          <t>No</t>
        </is>
      </c>
      <c r="K459" t="inlineStr">
        <is>
          <t>No</t>
        </is>
      </c>
      <c r="L459" t="inlineStr">
        <is>
          <t>0</t>
        </is>
      </c>
      <c r="M459" t="inlineStr">
        <is>
          <t>International Congress on Ethics in Medicine (2nd : 1987 : New York, N.Y.)</t>
        </is>
      </c>
      <c r="N459" t="inlineStr">
        <is>
          <t>New York, NY. : Beth Israel Medical Center, c1988.</t>
        </is>
      </c>
      <c r="O459" t="inlineStr">
        <is>
          <t>1988</t>
        </is>
      </c>
      <c r="Q459" t="inlineStr">
        <is>
          <t>eng</t>
        </is>
      </c>
      <c r="R459" t="inlineStr">
        <is>
          <t>nyu</t>
        </is>
      </c>
      <c r="T459" t="inlineStr">
        <is>
          <t xml:space="preserve">W  </t>
        </is>
      </c>
      <c r="U459" t="n">
        <v>7</v>
      </c>
      <c r="V459" t="n">
        <v>7</v>
      </c>
      <c r="W459" t="inlineStr">
        <is>
          <t>1999-11-16</t>
        </is>
      </c>
      <c r="X459" t="inlineStr">
        <is>
          <t>1999-11-16</t>
        </is>
      </c>
      <c r="Y459" t="inlineStr">
        <is>
          <t>1989-07-05</t>
        </is>
      </c>
      <c r="Z459" t="inlineStr">
        <is>
          <t>1989-07-05</t>
        </is>
      </c>
      <c r="AA459" t="n">
        <v>99</v>
      </c>
      <c r="AB459" t="n">
        <v>80</v>
      </c>
      <c r="AC459" t="n">
        <v>80</v>
      </c>
      <c r="AD459" t="n">
        <v>1</v>
      </c>
      <c r="AE459" t="n">
        <v>1</v>
      </c>
      <c r="AF459" t="n">
        <v>1</v>
      </c>
      <c r="AG459" t="n">
        <v>1</v>
      </c>
      <c r="AH459" t="n">
        <v>0</v>
      </c>
      <c r="AI459" t="n">
        <v>0</v>
      </c>
      <c r="AJ459" t="n">
        <v>0</v>
      </c>
      <c r="AK459" t="n">
        <v>0</v>
      </c>
      <c r="AL459" t="n">
        <v>1</v>
      </c>
      <c r="AM459" t="n">
        <v>1</v>
      </c>
      <c r="AN459" t="n">
        <v>0</v>
      </c>
      <c r="AO459" t="n">
        <v>0</v>
      </c>
      <c r="AP459" t="n">
        <v>0</v>
      </c>
      <c r="AQ459" t="n">
        <v>0</v>
      </c>
      <c r="AR459" t="inlineStr">
        <is>
          <t>No</t>
        </is>
      </c>
      <c r="AS459" t="inlineStr">
        <is>
          <t>No</t>
        </is>
      </c>
      <c r="AU459">
        <f>HYPERLINK("https://creighton-primo.hosted.exlibrisgroup.com/primo-explore/search?tab=default_tab&amp;search_scope=EVERYTHING&amp;vid=01CRU&amp;lang=en_US&amp;offset=0&amp;query=any,contains,991001309109702656","Catalog Record")</f>
        <v/>
      </c>
      <c r="AV459">
        <f>HYPERLINK("http://www.worldcat.org/oclc/18835885","WorldCat Record")</f>
        <v/>
      </c>
      <c r="AW459" t="inlineStr">
        <is>
          <t>3856270010:eng</t>
        </is>
      </c>
      <c r="AX459" t="inlineStr">
        <is>
          <t>18835885</t>
        </is>
      </c>
      <c r="AY459" t="inlineStr">
        <is>
          <t>991001309109702656</t>
        </is>
      </c>
      <c r="AZ459" t="inlineStr">
        <is>
          <t>991001309109702656</t>
        </is>
      </c>
      <c r="BA459" t="inlineStr">
        <is>
          <t>2259801030002656</t>
        </is>
      </c>
      <c r="BB459" t="inlineStr">
        <is>
          <t>BOOK</t>
        </is>
      </c>
      <c r="BD459" t="inlineStr">
        <is>
          <t>9780962133619</t>
        </is>
      </c>
      <c r="BE459" t="inlineStr">
        <is>
          <t>30001001750258</t>
        </is>
      </c>
      <c r="BF459" t="inlineStr">
        <is>
          <t>893460457</t>
        </is>
      </c>
    </row>
    <row r="460">
      <c r="A460" t="inlineStr">
        <is>
          <t>No</t>
        </is>
      </c>
      <c r="B460" t="inlineStr">
        <is>
          <t>CUHSL</t>
        </is>
      </c>
      <c r="C460" t="inlineStr">
        <is>
          <t>SHELVES</t>
        </is>
      </c>
      <c r="D460" t="inlineStr">
        <is>
          <t>W 50 J15d 1988</t>
        </is>
      </c>
      <c r="E460" t="inlineStr">
        <is>
          <t>0                      W  0050000J  15d         1988</t>
        </is>
      </c>
      <c r="F460" t="inlineStr">
        <is>
          <t>Doctors and rules : a sociology of professional values / Joseph M. Jacob ; foreword by Donald MacRae.</t>
        </is>
      </c>
      <c r="H460" t="inlineStr">
        <is>
          <t>No</t>
        </is>
      </c>
      <c r="I460" t="inlineStr">
        <is>
          <t>1</t>
        </is>
      </c>
      <c r="J460" t="inlineStr">
        <is>
          <t>No</t>
        </is>
      </c>
      <c r="K460" t="inlineStr">
        <is>
          <t>No</t>
        </is>
      </c>
      <c r="L460" t="inlineStr">
        <is>
          <t>0</t>
        </is>
      </c>
      <c r="M460" t="inlineStr">
        <is>
          <t>Jacob, Joseph M., 1943-</t>
        </is>
      </c>
      <c r="N460" t="inlineStr">
        <is>
          <t>London ; New York : Routledge, c1988.</t>
        </is>
      </c>
      <c r="O460" t="inlineStr">
        <is>
          <t>1988</t>
        </is>
      </c>
      <c r="Q460" t="inlineStr">
        <is>
          <t>eng</t>
        </is>
      </c>
      <c r="R460" t="inlineStr">
        <is>
          <t>enk</t>
        </is>
      </c>
      <c r="T460" t="inlineStr">
        <is>
          <t xml:space="preserve">W  </t>
        </is>
      </c>
      <c r="U460" t="n">
        <v>4</v>
      </c>
      <c r="V460" t="n">
        <v>4</v>
      </c>
      <c r="W460" t="inlineStr">
        <is>
          <t>1998-10-16</t>
        </is>
      </c>
      <c r="X460" t="inlineStr">
        <is>
          <t>1998-10-16</t>
        </is>
      </c>
      <c r="Y460" t="inlineStr">
        <is>
          <t>1989-08-31</t>
        </is>
      </c>
      <c r="Z460" t="inlineStr">
        <is>
          <t>1989-08-31</t>
        </is>
      </c>
      <c r="AA460" t="n">
        <v>284</v>
      </c>
      <c r="AB460" t="n">
        <v>182</v>
      </c>
      <c r="AC460" t="n">
        <v>945</v>
      </c>
      <c r="AD460" t="n">
        <v>1</v>
      </c>
      <c r="AE460" t="n">
        <v>2</v>
      </c>
      <c r="AF460" t="n">
        <v>14</v>
      </c>
      <c r="AG460" t="n">
        <v>30</v>
      </c>
      <c r="AH460" t="n">
        <v>4</v>
      </c>
      <c r="AI460" t="n">
        <v>13</v>
      </c>
      <c r="AJ460" t="n">
        <v>4</v>
      </c>
      <c r="AK460" t="n">
        <v>7</v>
      </c>
      <c r="AL460" t="n">
        <v>4</v>
      </c>
      <c r="AM460" t="n">
        <v>12</v>
      </c>
      <c r="AN460" t="n">
        <v>0</v>
      </c>
      <c r="AO460" t="n">
        <v>0</v>
      </c>
      <c r="AP460" t="n">
        <v>6</v>
      </c>
      <c r="AQ460" t="n">
        <v>7</v>
      </c>
      <c r="AR460" t="inlineStr">
        <is>
          <t>No</t>
        </is>
      </c>
      <c r="AS460" t="inlineStr">
        <is>
          <t>Yes</t>
        </is>
      </c>
      <c r="AT460">
        <f>HYPERLINK("http://catalog.hathitrust.org/Record/000928365","HathiTrust Record")</f>
        <v/>
      </c>
      <c r="AU460">
        <f>HYPERLINK("https://creighton-primo.hosted.exlibrisgroup.com/primo-explore/search?tab=default_tab&amp;search_scope=EVERYTHING&amp;vid=01CRU&amp;lang=en_US&amp;offset=0&amp;query=any,contains,991001314319702656","Catalog Record")</f>
        <v/>
      </c>
      <c r="AV460">
        <f>HYPERLINK("http://www.worldcat.org/oclc/17412436","WorldCat Record")</f>
        <v/>
      </c>
      <c r="AW460" t="inlineStr">
        <is>
          <t>15590822:eng</t>
        </is>
      </c>
      <c r="AX460" t="inlineStr">
        <is>
          <t>17412436</t>
        </is>
      </c>
      <c r="AY460" t="inlineStr">
        <is>
          <t>991001314319702656</t>
        </is>
      </c>
      <c r="AZ460" t="inlineStr">
        <is>
          <t>991001314319702656</t>
        </is>
      </c>
      <c r="BA460" t="inlineStr">
        <is>
          <t>2264489330002656</t>
        </is>
      </c>
      <c r="BB460" t="inlineStr">
        <is>
          <t>BOOK</t>
        </is>
      </c>
      <c r="BD460" t="inlineStr">
        <is>
          <t>9780415006880</t>
        </is>
      </c>
      <c r="BE460" t="inlineStr">
        <is>
          <t>30001001752239</t>
        </is>
      </c>
      <c r="BF460" t="inlineStr">
        <is>
          <t>893632942</t>
        </is>
      </c>
    </row>
    <row r="461">
      <c r="A461" t="inlineStr">
        <is>
          <t>No</t>
        </is>
      </c>
      <c r="B461" t="inlineStr">
        <is>
          <t>CUHSL</t>
        </is>
      </c>
      <c r="C461" t="inlineStr">
        <is>
          <t>SHELVES</t>
        </is>
      </c>
      <c r="D461" t="inlineStr">
        <is>
          <t>W 50 J59 1979</t>
        </is>
      </c>
      <c r="E461" t="inlineStr">
        <is>
          <t>0                      W  0050000J  59          1979</t>
        </is>
      </c>
      <c r="F461" t="inlineStr">
        <is>
          <t>Jewish bioethics / edited by Fred Rosner and J. David Bleich ; with contributions by Menachem M. Brayer ... [et al.].</t>
        </is>
      </c>
      <c r="H461" t="inlineStr">
        <is>
          <t>No</t>
        </is>
      </c>
      <c r="I461" t="inlineStr">
        <is>
          <t>1</t>
        </is>
      </c>
      <c r="J461" t="inlineStr">
        <is>
          <t>No</t>
        </is>
      </c>
      <c r="K461" t="inlineStr">
        <is>
          <t>No</t>
        </is>
      </c>
      <c r="L461" t="inlineStr">
        <is>
          <t>0</t>
        </is>
      </c>
      <c r="N461" t="inlineStr">
        <is>
          <t>New York : Sanhedrin Press, c1979.</t>
        </is>
      </c>
      <c r="O461" t="inlineStr">
        <is>
          <t>1979</t>
        </is>
      </c>
      <c r="Q461" t="inlineStr">
        <is>
          <t>eng</t>
        </is>
      </c>
      <c r="R461" t="inlineStr">
        <is>
          <t>nyu</t>
        </is>
      </c>
      <c r="T461" t="inlineStr">
        <is>
          <t xml:space="preserve">W  </t>
        </is>
      </c>
      <c r="U461" t="n">
        <v>4</v>
      </c>
      <c r="V461" t="n">
        <v>4</v>
      </c>
      <c r="W461" t="inlineStr">
        <is>
          <t>2002-04-01</t>
        </is>
      </c>
      <c r="X461" t="inlineStr">
        <is>
          <t>2002-04-01</t>
        </is>
      </c>
      <c r="Y461" t="inlineStr">
        <is>
          <t>1987-10-02</t>
        </is>
      </c>
      <c r="Z461" t="inlineStr">
        <is>
          <t>1987-10-02</t>
        </is>
      </c>
      <c r="AA461" t="n">
        <v>235</v>
      </c>
      <c r="AB461" t="n">
        <v>210</v>
      </c>
      <c r="AC461" t="n">
        <v>288</v>
      </c>
      <c r="AD461" t="n">
        <v>1</v>
      </c>
      <c r="AE461" t="n">
        <v>2</v>
      </c>
      <c r="AF461" t="n">
        <v>10</v>
      </c>
      <c r="AG461" t="n">
        <v>18</v>
      </c>
      <c r="AH461" t="n">
        <v>1</v>
      </c>
      <c r="AI461" t="n">
        <v>3</v>
      </c>
      <c r="AJ461" t="n">
        <v>1</v>
      </c>
      <c r="AK461" t="n">
        <v>3</v>
      </c>
      <c r="AL461" t="n">
        <v>6</v>
      </c>
      <c r="AM461" t="n">
        <v>10</v>
      </c>
      <c r="AN461" t="n">
        <v>0</v>
      </c>
      <c r="AO461" t="n">
        <v>1</v>
      </c>
      <c r="AP461" t="n">
        <v>2</v>
      </c>
      <c r="AQ461" t="n">
        <v>4</v>
      </c>
      <c r="AR461" t="inlineStr">
        <is>
          <t>No</t>
        </is>
      </c>
      <c r="AS461" t="inlineStr">
        <is>
          <t>Yes</t>
        </is>
      </c>
      <c r="AT461">
        <f>HYPERLINK("http://catalog.hathitrust.org/Record/000084144","HathiTrust Record")</f>
        <v/>
      </c>
      <c r="AU461">
        <f>HYPERLINK("https://creighton-primo.hosted.exlibrisgroup.com/primo-explore/search?tab=default_tab&amp;search_scope=EVERYTHING&amp;vid=01CRU&amp;lang=en_US&amp;offset=0&amp;query=any,contains,991001206559702656","Catalog Record")</f>
        <v/>
      </c>
      <c r="AV461">
        <f>HYPERLINK("http://www.worldcat.org/oclc/5674857","WorldCat Record")</f>
        <v/>
      </c>
      <c r="AW461" t="inlineStr">
        <is>
          <t>350974217:eng</t>
        </is>
      </c>
      <c r="AX461" t="inlineStr">
        <is>
          <t>5674857</t>
        </is>
      </c>
      <c r="AY461" t="inlineStr">
        <is>
          <t>991001206559702656</t>
        </is>
      </c>
      <c r="AZ461" t="inlineStr">
        <is>
          <t>991001206559702656</t>
        </is>
      </c>
      <c r="BA461" t="inlineStr">
        <is>
          <t>2260282440002656</t>
        </is>
      </c>
      <c r="BB461" t="inlineStr">
        <is>
          <t>BOOK</t>
        </is>
      </c>
      <c r="BD461" t="inlineStr">
        <is>
          <t>9780884829348</t>
        </is>
      </c>
      <c r="BE461" t="inlineStr">
        <is>
          <t>30001000320061</t>
        </is>
      </c>
      <c r="BF461" t="inlineStr">
        <is>
          <t>893363886</t>
        </is>
      </c>
    </row>
    <row r="462">
      <c r="A462" t="inlineStr">
        <is>
          <t>No</t>
        </is>
      </c>
      <c r="B462" t="inlineStr">
        <is>
          <t>CUHSL</t>
        </is>
      </c>
      <c r="C462" t="inlineStr">
        <is>
          <t>SHELVES</t>
        </is>
      </c>
      <c r="D462" t="inlineStr">
        <is>
          <t>W 50 J595 1986</t>
        </is>
      </c>
      <c r="E462" t="inlineStr">
        <is>
          <t>0                      W  0050000J  595         1986</t>
        </is>
      </c>
      <c r="F462" t="inlineStr">
        <is>
          <t>Jewish values in bioethics / edited by Rabbi Levi Meier.</t>
        </is>
      </c>
      <c r="H462" t="inlineStr">
        <is>
          <t>No</t>
        </is>
      </c>
      <c r="I462" t="inlineStr">
        <is>
          <t>1</t>
        </is>
      </c>
      <c r="J462" t="inlineStr">
        <is>
          <t>No</t>
        </is>
      </c>
      <c r="K462" t="inlineStr">
        <is>
          <t>No</t>
        </is>
      </c>
      <c r="L462" t="inlineStr">
        <is>
          <t>0</t>
        </is>
      </c>
      <c r="N462" t="inlineStr">
        <is>
          <t>New York, N.Y. : Human Sciences Press, c1986.</t>
        </is>
      </c>
      <c r="O462" t="inlineStr">
        <is>
          <t>1986</t>
        </is>
      </c>
      <c r="Q462" t="inlineStr">
        <is>
          <t>eng</t>
        </is>
      </c>
      <c r="R462" t="inlineStr">
        <is>
          <t>xxu</t>
        </is>
      </c>
      <c r="T462" t="inlineStr">
        <is>
          <t xml:space="preserve">W  </t>
        </is>
      </c>
      <c r="U462" t="n">
        <v>12</v>
      </c>
      <c r="V462" t="n">
        <v>12</v>
      </c>
      <c r="W462" t="inlineStr">
        <is>
          <t>2005-04-26</t>
        </is>
      </c>
      <c r="X462" t="inlineStr">
        <is>
          <t>2005-04-26</t>
        </is>
      </c>
      <c r="Y462" t="inlineStr">
        <is>
          <t>1989-07-03</t>
        </is>
      </c>
      <c r="Z462" t="inlineStr">
        <is>
          <t>1989-07-03</t>
        </is>
      </c>
      <c r="AA462" t="n">
        <v>337</v>
      </c>
      <c r="AB462" t="n">
        <v>294</v>
      </c>
      <c r="AC462" t="n">
        <v>296</v>
      </c>
      <c r="AD462" t="n">
        <v>2</v>
      </c>
      <c r="AE462" t="n">
        <v>2</v>
      </c>
      <c r="AF462" t="n">
        <v>19</v>
      </c>
      <c r="AG462" t="n">
        <v>19</v>
      </c>
      <c r="AH462" t="n">
        <v>6</v>
      </c>
      <c r="AI462" t="n">
        <v>6</v>
      </c>
      <c r="AJ462" t="n">
        <v>4</v>
      </c>
      <c r="AK462" t="n">
        <v>4</v>
      </c>
      <c r="AL462" t="n">
        <v>10</v>
      </c>
      <c r="AM462" t="n">
        <v>10</v>
      </c>
      <c r="AN462" t="n">
        <v>1</v>
      </c>
      <c r="AO462" t="n">
        <v>1</v>
      </c>
      <c r="AP462" t="n">
        <v>2</v>
      </c>
      <c r="AQ462" t="n">
        <v>2</v>
      </c>
      <c r="AR462" t="inlineStr">
        <is>
          <t>No</t>
        </is>
      </c>
      <c r="AS462" t="inlineStr">
        <is>
          <t>Yes</t>
        </is>
      </c>
      <c r="AT462">
        <f>HYPERLINK("http://catalog.hathitrust.org/Record/000829559","HathiTrust Record")</f>
        <v/>
      </c>
      <c r="AU462">
        <f>HYPERLINK("https://creighton-primo.hosted.exlibrisgroup.com/primo-explore/search?tab=default_tab&amp;search_scope=EVERYTHING&amp;vid=01CRU&amp;lang=en_US&amp;offset=0&amp;query=any,contains,991001252349702656","Catalog Record")</f>
        <v/>
      </c>
      <c r="AV462">
        <f>HYPERLINK("http://www.worldcat.org/oclc/13760307","WorldCat Record")</f>
        <v/>
      </c>
      <c r="AW462" t="inlineStr">
        <is>
          <t>7015791:eng</t>
        </is>
      </c>
      <c r="AX462" t="inlineStr">
        <is>
          <t>13760307</t>
        </is>
      </c>
      <c r="AY462" t="inlineStr">
        <is>
          <t>991001252349702656</t>
        </is>
      </c>
      <c r="AZ462" t="inlineStr">
        <is>
          <t>991001252349702656</t>
        </is>
      </c>
      <c r="BA462" t="inlineStr">
        <is>
          <t>2254806360002656</t>
        </is>
      </c>
      <c r="BB462" t="inlineStr">
        <is>
          <t>BOOK</t>
        </is>
      </c>
      <c r="BD462" t="inlineStr">
        <is>
          <t>9780898852998</t>
        </is>
      </c>
      <c r="BE462" t="inlineStr">
        <is>
          <t>30001001679283</t>
        </is>
      </c>
      <c r="BF462" t="inlineStr">
        <is>
          <t>893727380</t>
        </is>
      </c>
    </row>
    <row r="463">
      <c r="A463" t="inlineStr">
        <is>
          <t>No</t>
        </is>
      </c>
      <c r="B463" t="inlineStr">
        <is>
          <t>CUHSL</t>
        </is>
      </c>
      <c r="C463" t="inlineStr">
        <is>
          <t>SHELVES</t>
        </is>
      </c>
      <c r="D463" t="inlineStr">
        <is>
          <t>W 50 J81c 1998</t>
        </is>
      </c>
      <c r="E463" t="inlineStr">
        <is>
          <t>0                      W  0050000J  81c         1998</t>
        </is>
      </c>
      <c r="F463" t="inlineStr">
        <is>
          <t>Clinical ethics : a practical approach to ethical decisions in clinical medicine / Albert R. Jonsen, Mark Siegler, William J. Winslade.</t>
        </is>
      </c>
      <c r="H463" t="inlineStr">
        <is>
          <t>No</t>
        </is>
      </c>
      <c r="I463" t="inlineStr">
        <is>
          <t>1</t>
        </is>
      </c>
      <c r="J463" t="inlineStr">
        <is>
          <t>No</t>
        </is>
      </c>
      <c r="K463" t="inlineStr">
        <is>
          <t>Yes</t>
        </is>
      </c>
      <c r="L463" t="inlineStr">
        <is>
          <t>2</t>
        </is>
      </c>
      <c r="M463" t="inlineStr">
        <is>
          <t>Jonsen, Albert R.</t>
        </is>
      </c>
      <c r="N463" t="inlineStr">
        <is>
          <t>New York : McGraw-Hill, Health Professions Division, c1998.</t>
        </is>
      </c>
      <c r="O463" t="inlineStr">
        <is>
          <t>1998</t>
        </is>
      </c>
      <c r="P463" t="inlineStr">
        <is>
          <t>4th ed.</t>
        </is>
      </c>
      <c r="Q463" t="inlineStr">
        <is>
          <t>eng</t>
        </is>
      </c>
      <c r="R463" t="inlineStr">
        <is>
          <t>nyu</t>
        </is>
      </c>
      <c r="T463" t="inlineStr">
        <is>
          <t xml:space="preserve">W  </t>
        </is>
      </c>
      <c r="U463" t="n">
        <v>33</v>
      </c>
      <c r="V463" t="n">
        <v>33</v>
      </c>
      <c r="W463" t="inlineStr">
        <is>
          <t>2005-11-16</t>
        </is>
      </c>
      <c r="X463" t="inlineStr">
        <is>
          <t>2005-11-16</t>
        </is>
      </c>
      <c r="Y463" t="inlineStr">
        <is>
          <t>1997-10-10</t>
        </is>
      </c>
      <c r="Z463" t="inlineStr">
        <is>
          <t>1997-10-10</t>
        </is>
      </c>
      <c r="AA463" t="n">
        <v>385</v>
      </c>
      <c r="AB463" t="n">
        <v>315</v>
      </c>
      <c r="AC463" t="n">
        <v>1521</v>
      </c>
      <c r="AD463" t="n">
        <v>1</v>
      </c>
      <c r="AE463" t="n">
        <v>17</v>
      </c>
      <c r="AF463" t="n">
        <v>10</v>
      </c>
      <c r="AG463" t="n">
        <v>62</v>
      </c>
      <c r="AH463" t="n">
        <v>2</v>
      </c>
      <c r="AI463" t="n">
        <v>17</v>
      </c>
      <c r="AJ463" t="n">
        <v>3</v>
      </c>
      <c r="AK463" t="n">
        <v>10</v>
      </c>
      <c r="AL463" t="n">
        <v>8</v>
      </c>
      <c r="AM463" t="n">
        <v>22</v>
      </c>
      <c r="AN463" t="n">
        <v>0</v>
      </c>
      <c r="AO463" t="n">
        <v>13</v>
      </c>
      <c r="AP463" t="n">
        <v>0</v>
      </c>
      <c r="AQ463" t="n">
        <v>10</v>
      </c>
      <c r="AR463" t="inlineStr">
        <is>
          <t>No</t>
        </is>
      </c>
      <c r="AS463" t="inlineStr">
        <is>
          <t>Yes</t>
        </is>
      </c>
      <c r="AT463">
        <f>HYPERLINK("http://catalog.hathitrust.org/Record/003188538","HathiTrust Record")</f>
        <v/>
      </c>
      <c r="AU463">
        <f>HYPERLINK("https://creighton-primo.hosted.exlibrisgroup.com/primo-explore/search?tab=default_tab&amp;search_scope=EVERYTHING&amp;vid=01CRU&amp;lang=en_US&amp;offset=0&amp;query=any,contains,991001137439702656","Catalog Record")</f>
        <v/>
      </c>
      <c r="AV463">
        <f>HYPERLINK("http://www.worldcat.org/oclc/37647058","WorldCat Record")</f>
        <v/>
      </c>
      <c r="AW463" t="inlineStr">
        <is>
          <t>793997490:eng</t>
        </is>
      </c>
      <c r="AX463" t="inlineStr">
        <is>
          <t>37647058</t>
        </is>
      </c>
      <c r="AY463" t="inlineStr">
        <is>
          <t>991001137439702656</t>
        </is>
      </c>
      <c r="AZ463" t="inlineStr">
        <is>
          <t>991001137439702656</t>
        </is>
      </c>
      <c r="BA463" t="inlineStr">
        <is>
          <t>2254931740002656</t>
        </is>
      </c>
      <c r="BB463" t="inlineStr">
        <is>
          <t>BOOK</t>
        </is>
      </c>
      <c r="BD463" t="inlineStr">
        <is>
          <t>9780070331204</t>
        </is>
      </c>
      <c r="BE463" t="inlineStr">
        <is>
          <t>30001003626670</t>
        </is>
      </c>
      <c r="BF463" t="inlineStr">
        <is>
          <t>893358252</t>
        </is>
      </c>
    </row>
    <row r="464">
      <c r="A464" t="inlineStr">
        <is>
          <t>No</t>
        </is>
      </c>
      <c r="B464" t="inlineStr">
        <is>
          <t>CUHSL</t>
        </is>
      </c>
      <c r="C464" t="inlineStr">
        <is>
          <t>SHELVES</t>
        </is>
      </c>
      <c r="D464" t="inlineStr">
        <is>
          <t>W50 J81c 2002</t>
        </is>
      </c>
      <c r="E464" t="inlineStr">
        <is>
          <t>0                      W  0050000J  81c         2002</t>
        </is>
      </c>
      <c r="F464" t="inlineStr">
        <is>
          <t>Clinical ethics : a practical approach to ethical decisions in clinical medicine / Albert R. Jonsen, Mark Siegler, William J. Winslade.</t>
        </is>
      </c>
      <c r="H464" t="inlineStr">
        <is>
          <t>No</t>
        </is>
      </c>
      <c r="I464" t="inlineStr">
        <is>
          <t>1</t>
        </is>
      </c>
      <c r="J464" t="inlineStr">
        <is>
          <t>No</t>
        </is>
      </c>
      <c r="K464" t="inlineStr">
        <is>
          <t>Yes</t>
        </is>
      </c>
      <c r="L464" t="inlineStr">
        <is>
          <t>2</t>
        </is>
      </c>
      <c r="M464" t="inlineStr">
        <is>
          <t>Jonsen, Albert R.</t>
        </is>
      </c>
      <c r="N464" t="inlineStr">
        <is>
          <t>New York : McGraw Hill, Medical Pub. Division, c2002.</t>
        </is>
      </c>
      <c r="O464" t="inlineStr">
        <is>
          <t>2002</t>
        </is>
      </c>
      <c r="P464" t="inlineStr">
        <is>
          <t>5th ed.</t>
        </is>
      </c>
      <c r="Q464" t="inlineStr">
        <is>
          <t>eng</t>
        </is>
      </c>
      <c r="R464" t="inlineStr">
        <is>
          <t>nyu</t>
        </is>
      </c>
      <c r="T464" t="inlineStr">
        <is>
          <t xml:space="preserve">W  </t>
        </is>
      </c>
      <c r="U464" t="n">
        <v>21</v>
      </c>
      <c r="V464" t="n">
        <v>21</v>
      </c>
      <c r="W464" t="inlineStr">
        <is>
          <t>2010-02-27</t>
        </is>
      </c>
      <c r="X464" t="inlineStr">
        <is>
          <t>2010-02-27</t>
        </is>
      </c>
      <c r="Y464" t="inlineStr">
        <is>
          <t>2003-01-30</t>
        </is>
      </c>
      <c r="Z464" t="inlineStr">
        <is>
          <t>2003-01-30</t>
        </is>
      </c>
      <c r="AA464" t="n">
        <v>328</v>
      </c>
      <c r="AB464" t="n">
        <v>262</v>
      </c>
      <c r="AC464" t="n">
        <v>1521</v>
      </c>
      <c r="AD464" t="n">
        <v>2</v>
      </c>
      <c r="AE464" t="n">
        <v>17</v>
      </c>
      <c r="AF464" t="n">
        <v>15</v>
      </c>
      <c r="AG464" t="n">
        <v>62</v>
      </c>
      <c r="AH464" t="n">
        <v>5</v>
      </c>
      <c r="AI464" t="n">
        <v>17</v>
      </c>
      <c r="AJ464" t="n">
        <v>3</v>
      </c>
      <c r="AK464" t="n">
        <v>10</v>
      </c>
      <c r="AL464" t="n">
        <v>9</v>
      </c>
      <c r="AM464" t="n">
        <v>22</v>
      </c>
      <c r="AN464" t="n">
        <v>1</v>
      </c>
      <c r="AO464" t="n">
        <v>13</v>
      </c>
      <c r="AP464" t="n">
        <v>0</v>
      </c>
      <c r="AQ464" t="n">
        <v>10</v>
      </c>
      <c r="AR464" t="inlineStr">
        <is>
          <t>No</t>
        </is>
      </c>
      <c r="AS464" t="inlineStr">
        <is>
          <t>Yes</t>
        </is>
      </c>
      <c r="AT464">
        <f>HYPERLINK("http://catalog.hathitrust.org/Record/004268824","HathiTrust Record")</f>
        <v/>
      </c>
      <c r="AU464">
        <f>HYPERLINK("https://creighton-primo.hosted.exlibrisgroup.com/primo-explore/search?tab=default_tab&amp;search_scope=EVERYTHING&amp;vid=01CRU&amp;lang=en_US&amp;offset=0&amp;query=any,contains,991000338129702656","Catalog Record")</f>
        <v/>
      </c>
      <c r="AV464">
        <f>HYPERLINK("http://www.worldcat.org/oclc/49619614","WorldCat Record")</f>
        <v/>
      </c>
      <c r="AW464" t="inlineStr">
        <is>
          <t>793997490:eng</t>
        </is>
      </c>
      <c r="AX464" t="inlineStr">
        <is>
          <t>49619614</t>
        </is>
      </c>
      <c r="AY464" t="inlineStr">
        <is>
          <t>991000338129702656</t>
        </is>
      </c>
      <c r="AZ464" t="inlineStr">
        <is>
          <t>991000338129702656</t>
        </is>
      </c>
      <c r="BA464" t="inlineStr">
        <is>
          <t>2269185260002656</t>
        </is>
      </c>
      <c r="BB464" t="inlineStr">
        <is>
          <t>BOOK</t>
        </is>
      </c>
      <c r="BD464" t="inlineStr">
        <is>
          <t>9780071387637</t>
        </is>
      </c>
      <c r="BE464" t="inlineStr">
        <is>
          <t>30001004501823</t>
        </is>
      </c>
      <c r="BF464" t="inlineStr">
        <is>
          <t>893150934</t>
        </is>
      </c>
    </row>
    <row r="465">
      <c r="A465" t="inlineStr">
        <is>
          <t>No</t>
        </is>
      </c>
      <c r="B465" t="inlineStr">
        <is>
          <t>CUHSL</t>
        </is>
      </c>
      <c r="C465" t="inlineStr">
        <is>
          <t>SHELVES</t>
        </is>
      </c>
      <c r="D465" t="inlineStr">
        <is>
          <t>W 50 J96 1988</t>
        </is>
      </c>
      <c r="E465" t="inlineStr">
        <is>
          <t>0                      W  0050000J  96          1988</t>
        </is>
      </c>
      <c r="F465" t="inlineStr">
        <is>
          <t>Just caring : justice, health care, and the good society : an ethics forum.</t>
        </is>
      </c>
      <c r="H465" t="inlineStr">
        <is>
          <t>No</t>
        </is>
      </c>
      <c r="I465" t="inlineStr">
        <is>
          <t>1</t>
        </is>
      </c>
      <c r="J465" t="inlineStr">
        <is>
          <t>No</t>
        </is>
      </c>
      <c r="K465" t="inlineStr">
        <is>
          <t>No</t>
        </is>
      </c>
      <c r="L465" t="inlineStr">
        <is>
          <t>0</t>
        </is>
      </c>
      <c r="N465" t="inlineStr">
        <is>
          <t>Goshen, Ind. : Goshen General Hospital, [1988?]</t>
        </is>
      </c>
      <c r="O465" t="inlineStr">
        <is>
          <t>1988</t>
        </is>
      </c>
      <c r="Q465" t="inlineStr">
        <is>
          <t>eng</t>
        </is>
      </c>
      <c r="R465" t="inlineStr">
        <is>
          <t>inu</t>
        </is>
      </c>
      <c r="T465" t="inlineStr">
        <is>
          <t xml:space="preserve">W  </t>
        </is>
      </c>
      <c r="U465" t="n">
        <v>5</v>
      </c>
      <c r="V465" t="n">
        <v>5</v>
      </c>
      <c r="W465" t="inlineStr">
        <is>
          <t>2010-09-15</t>
        </is>
      </c>
      <c r="X465" t="inlineStr">
        <is>
          <t>2010-09-15</t>
        </is>
      </c>
      <c r="Y465" t="inlineStr">
        <is>
          <t>1989-06-26</t>
        </is>
      </c>
      <c r="Z465" t="inlineStr">
        <is>
          <t>1989-06-26</t>
        </is>
      </c>
      <c r="AA465" t="n">
        <v>5</v>
      </c>
      <c r="AB465" t="n">
        <v>5</v>
      </c>
      <c r="AC465" t="n">
        <v>5</v>
      </c>
      <c r="AD465" t="n">
        <v>1</v>
      </c>
      <c r="AE465" t="n">
        <v>1</v>
      </c>
      <c r="AF465" t="n">
        <v>0</v>
      </c>
      <c r="AG465" t="n">
        <v>0</v>
      </c>
      <c r="AH465" t="n">
        <v>0</v>
      </c>
      <c r="AI465" t="n">
        <v>0</v>
      </c>
      <c r="AJ465" t="n">
        <v>0</v>
      </c>
      <c r="AK465" t="n">
        <v>0</v>
      </c>
      <c r="AL465" t="n">
        <v>0</v>
      </c>
      <c r="AM465" t="n">
        <v>0</v>
      </c>
      <c r="AN465" t="n">
        <v>0</v>
      </c>
      <c r="AO465" t="n">
        <v>0</v>
      </c>
      <c r="AP465" t="n">
        <v>0</v>
      </c>
      <c r="AQ465" t="n">
        <v>0</v>
      </c>
      <c r="AR465" t="inlineStr">
        <is>
          <t>No</t>
        </is>
      </c>
      <c r="AS465" t="inlineStr">
        <is>
          <t>No</t>
        </is>
      </c>
      <c r="AU465">
        <f>HYPERLINK("https://creighton-primo.hosted.exlibrisgroup.com/primo-explore/search?tab=default_tab&amp;search_scope=EVERYTHING&amp;vid=01CRU&amp;lang=en_US&amp;offset=0&amp;query=any,contains,991001251589702656","Catalog Record")</f>
        <v/>
      </c>
      <c r="AV465">
        <f>HYPERLINK("http://www.worldcat.org/oclc/19090381","WorldCat Record")</f>
        <v/>
      </c>
      <c r="AW465" t="inlineStr">
        <is>
          <t>1898456114:eng</t>
        </is>
      </c>
      <c r="AX465" t="inlineStr">
        <is>
          <t>19090381</t>
        </is>
      </c>
      <c r="AY465" t="inlineStr">
        <is>
          <t>991001251589702656</t>
        </is>
      </c>
      <c r="AZ465" t="inlineStr">
        <is>
          <t>991001251589702656</t>
        </is>
      </c>
      <c r="BA465" t="inlineStr">
        <is>
          <t>2269179870002656</t>
        </is>
      </c>
      <c r="BB465" t="inlineStr">
        <is>
          <t>BOOK</t>
        </is>
      </c>
      <c r="BE465" t="inlineStr">
        <is>
          <t>30001001678996</t>
        </is>
      </c>
      <c r="BF465" t="inlineStr">
        <is>
          <t>893460390</t>
        </is>
      </c>
    </row>
    <row r="466">
      <c r="A466" t="inlineStr">
        <is>
          <t>No</t>
        </is>
      </c>
      <c r="B466" t="inlineStr">
        <is>
          <t>CUHSL</t>
        </is>
      </c>
      <c r="C466" t="inlineStr">
        <is>
          <t>SHELVES</t>
        </is>
      </c>
      <c r="D466" t="inlineStr">
        <is>
          <t>W 50 K1895d 1989</t>
        </is>
      </c>
      <c r="E466" t="inlineStr">
        <is>
          <t>0                      W  0050000K  1895d       1989</t>
        </is>
      </c>
      <c r="F466" t="inlineStr">
        <is>
          <t>Doctors under Hitler / Michael H. Kater.</t>
        </is>
      </c>
      <c r="H466" t="inlineStr">
        <is>
          <t>No</t>
        </is>
      </c>
      <c r="I466" t="inlineStr">
        <is>
          <t>1</t>
        </is>
      </c>
      <c r="J466" t="inlineStr">
        <is>
          <t>Yes</t>
        </is>
      </c>
      <c r="K466" t="inlineStr">
        <is>
          <t>No</t>
        </is>
      </c>
      <c r="L466" t="inlineStr">
        <is>
          <t>0</t>
        </is>
      </c>
      <c r="M466" t="inlineStr">
        <is>
          <t>Kater, Michael H., 1937-</t>
        </is>
      </c>
      <c r="N466" t="inlineStr">
        <is>
          <t>Chapel Hill : University of North Carolina Press, c1989.</t>
        </is>
      </c>
      <c r="O466" t="inlineStr">
        <is>
          <t>1989</t>
        </is>
      </c>
      <c r="Q466" t="inlineStr">
        <is>
          <t>eng</t>
        </is>
      </c>
      <c r="R466" t="inlineStr">
        <is>
          <t>xxu</t>
        </is>
      </c>
      <c r="T466" t="inlineStr">
        <is>
          <t xml:space="preserve">W  </t>
        </is>
      </c>
      <c r="U466" t="n">
        <v>21</v>
      </c>
      <c r="V466" t="n">
        <v>21</v>
      </c>
      <c r="W466" t="inlineStr">
        <is>
          <t>1997-04-29</t>
        </is>
      </c>
      <c r="X466" t="inlineStr">
        <is>
          <t>1997-04-29</t>
        </is>
      </c>
      <c r="Y466" t="inlineStr">
        <is>
          <t>1990-06-15</t>
        </is>
      </c>
      <c r="Z466" t="inlineStr">
        <is>
          <t>1990-06-15</t>
        </is>
      </c>
      <c r="AA466" t="n">
        <v>736</v>
      </c>
      <c r="AB466" t="n">
        <v>592</v>
      </c>
      <c r="AC466" t="n">
        <v>702</v>
      </c>
      <c r="AD466" t="n">
        <v>4</v>
      </c>
      <c r="AE466" t="n">
        <v>5</v>
      </c>
      <c r="AF466" t="n">
        <v>27</v>
      </c>
      <c r="AG466" t="n">
        <v>31</v>
      </c>
      <c r="AH466" t="n">
        <v>12</v>
      </c>
      <c r="AI466" t="n">
        <v>14</v>
      </c>
      <c r="AJ466" t="n">
        <v>8</v>
      </c>
      <c r="AK466" t="n">
        <v>10</v>
      </c>
      <c r="AL466" t="n">
        <v>16</v>
      </c>
      <c r="AM466" t="n">
        <v>16</v>
      </c>
      <c r="AN466" t="n">
        <v>1</v>
      </c>
      <c r="AO466" t="n">
        <v>2</v>
      </c>
      <c r="AP466" t="n">
        <v>0</v>
      </c>
      <c r="AQ466" t="n">
        <v>0</v>
      </c>
      <c r="AR466" t="inlineStr">
        <is>
          <t>No</t>
        </is>
      </c>
      <c r="AS466" t="inlineStr">
        <is>
          <t>Yes</t>
        </is>
      </c>
      <c r="AT466">
        <f>HYPERLINK("http://catalog.hathitrust.org/Record/001835447","HathiTrust Record")</f>
        <v/>
      </c>
      <c r="AU466">
        <f>HYPERLINK("https://creighton-primo.hosted.exlibrisgroup.com/primo-explore/search?tab=default_tab&amp;search_scope=EVERYTHING&amp;vid=01CRU&amp;lang=en_US&amp;offset=0&amp;query=any,contains,991001449559702656","Catalog Record")</f>
        <v/>
      </c>
      <c r="AV466">
        <f>HYPERLINK("http://www.worldcat.org/oclc/19264823","WorldCat Record")</f>
        <v/>
      </c>
      <c r="AW466" t="inlineStr">
        <is>
          <t>13637662:eng</t>
        </is>
      </c>
      <c r="AX466" t="inlineStr">
        <is>
          <t>19264823</t>
        </is>
      </c>
      <c r="AY466" t="inlineStr">
        <is>
          <t>991001449559702656</t>
        </is>
      </c>
      <c r="AZ466" t="inlineStr">
        <is>
          <t>991001449559702656</t>
        </is>
      </c>
      <c r="BA466" t="inlineStr">
        <is>
          <t>2265669120002656</t>
        </is>
      </c>
      <c r="BB466" t="inlineStr">
        <is>
          <t>BOOK</t>
        </is>
      </c>
      <c r="BD466" t="inlineStr">
        <is>
          <t>9780807818428</t>
        </is>
      </c>
      <c r="BE466" t="inlineStr">
        <is>
          <t>30001001882390</t>
        </is>
      </c>
      <c r="BF466" t="inlineStr">
        <is>
          <t>893732037</t>
        </is>
      </c>
    </row>
    <row r="467">
      <c r="A467" t="inlineStr">
        <is>
          <t>No</t>
        </is>
      </c>
      <c r="B467" t="inlineStr">
        <is>
          <t>CUHSL</t>
        </is>
      </c>
      <c r="C467" t="inlineStr">
        <is>
          <t>SHELVES</t>
        </is>
      </c>
      <c r="D467" t="inlineStr">
        <is>
          <t>W 50 K38m 1981</t>
        </is>
      </c>
      <c r="E467" t="inlineStr">
        <is>
          <t>0                      W  0050000K  38m         1981</t>
        </is>
      </c>
      <c r="F467" t="inlineStr">
        <is>
          <t>Medical stewardship : fulfilling the Hippocratic legacy / M. Oliver Kepler.</t>
        </is>
      </c>
      <c r="H467" t="inlineStr">
        <is>
          <t>No</t>
        </is>
      </c>
      <c r="I467" t="inlineStr">
        <is>
          <t>1</t>
        </is>
      </c>
      <c r="J467" t="inlineStr">
        <is>
          <t>No</t>
        </is>
      </c>
      <c r="K467" t="inlineStr">
        <is>
          <t>No</t>
        </is>
      </c>
      <c r="L467" t="inlineStr">
        <is>
          <t>0</t>
        </is>
      </c>
      <c r="M467" t="inlineStr">
        <is>
          <t>Kepler, M. Oliver (Milton Oliver), 1920-</t>
        </is>
      </c>
      <c r="N467" t="inlineStr">
        <is>
          <t>Westport, Conn. : Greenwood Press, 1981.</t>
        </is>
      </c>
      <c r="O467" t="inlineStr">
        <is>
          <t>1981</t>
        </is>
      </c>
      <c r="Q467" t="inlineStr">
        <is>
          <t>eng</t>
        </is>
      </c>
      <c r="R467" t="inlineStr">
        <is>
          <t>xxu</t>
        </is>
      </c>
      <c r="T467" t="inlineStr">
        <is>
          <t xml:space="preserve">W  </t>
        </is>
      </c>
      <c r="U467" t="n">
        <v>5</v>
      </c>
      <c r="V467" t="n">
        <v>5</v>
      </c>
      <c r="W467" t="inlineStr">
        <is>
          <t>1991-07-13</t>
        </is>
      </c>
      <c r="X467" t="inlineStr">
        <is>
          <t>1991-07-13</t>
        </is>
      </c>
      <c r="Y467" t="inlineStr">
        <is>
          <t>1987-10-02</t>
        </is>
      </c>
      <c r="Z467" t="inlineStr">
        <is>
          <t>1987-10-02</t>
        </is>
      </c>
      <c r="AA467" t="n">
        <v>230</v>
      </c>
      <c r="AB467" t="n">
        <v>194</v>
      </c>
      <c r="AC467" t="n">
        <v>201</v>
      </c>
      <c r="AD467" t="n">
        <v>3</v>
      </c>
      <c r="AE467" t="n">
        <v>3</v>
      </c>
      <c r="AF467" t="n">
        <v>8</v>
      </c>
      <c r="AG467" t="n">
        <v>8</v>
      </c>
      <c r="AH467" t="n">
        <v>0</v>
      </c>
      <c r="AI467" t="n">
        <v>0</v>
      </c>
      <c r="AJ467" t="n">
        <v>0</v>
      </c>
      <c r="AK467" t="n">
        <v>0</v>
      </c>
      <c r="AL467" t="n">
        <v>6</v>
      </c>
      <c r="AM467" t="n">
        <v>6</v>
      </c>
      <c r="AN467" t="n">
        <v>1</v>
      </c>
      <c r="AO467" t="n">
        <v>1</v>
      </c>
      <c r="AP467" t="n">
        <v>1</v>
      </c>
      <c r="AQ467" t="n">
        <v>1</v>
      </c>
      <c r="AR467" t="inlineStr">
        <is>
          <t>No</t>
        </is>
      </c>
      <c r="AS467" t="inlineStr">
        <is>
          <t>Yes</t>
        </is>
      </c>
      <c r="AT467">
        <f>HYPERLINK("http://catalog.hathitrust.org/Record/000191260","HathiTrust Record")</f>
        <v/>
      </c>
      <c r="AU467">
        <f>HYPERLINK("https://creighton-primo.hosted.exlibrisgroup.com/primo-explore/search?tab=default_tab&amp;search_scope=EVERYTHING&amp;vid=01CRU&amp;lang=en_US&amp;offset=0&amp;query=any,contains,991001256029702656","Catalog Record")</f>
        <v/>
      </c>
      <c r="AV467">
        <f>HYPERLINK("http://www.worldcat.org/oclc/6890100","WorldCat Record")</f>
        <v/>
      </c>
      <c r="AW467" t="inlineStr">
        <is>
          <t>446406:eng</t>
        </is>
      </c>
      <c r="AX467" t="inlineStr">
        <is>
          <t>6890100</t>
        </is>
      </c>
      <c r="AY467" t="inlineStr">
        <is>
          <t>991001256029702656</t>
        </is>
      </c>
      <c r="AZ467" t="inlineStr">
        <is>
          <t>991001256029702656</t>
        </is>
      </c>
      <c r="BA467" t="inlineStr">
        <is>
          <t>2271282190002656</t>
        </is>
      </c>
      <c r="BB467" t="inlineStr">
        <is>
          <t>BOOK</t>
        </is>
      </c>
      <c r="BD467" t="inlineStr">
        <is>
          <t>9780313224898</t>
        </is>
      </c>
      <c r="BE467" t="inlineStr">
        <is>
          <t>30001000344848</t>
        </is>
      </c>
      <c r="BF467" t="inlineStr">
        <is>
          <t>893740902</t>
        </is>
      </c>
    </row>
    <row r="468">
      <c r="A468" t="inlineStr">
        <is>
          <t>No</t>
        </is>
      </c>
      <c r="B468" t="inlineStr">
        <is>
          <t>CUHSL</t>
        </is>
      </c>
      <c r="C468" t="inlineStr">
        <is>
          <t>SHELVES</t>
        </is>
      </c>
      <c r="D468" t="inlineStr">
        <is>
          <t>W 50 K48w 1990</t>
        </is>
      </c>
      <c r="E468" t="inlineStr">
        <is>
          <t>0                      W  0050000K  48w         1990</t>
        </is>
      </c>
      <c r="F468" t="inlineStr">
        <is>
          <t>Who lives? Who dies? : ethical criteria in patient selection / John F. Kilner.</t>
        </is>
      </c>
      <c r="H468" t="inlineStr">
        <is>
          <t>No</t>
        </is>
      </c>
      <c r="I468" t="inlineStr">
        <is>
          <t>1</t>
        </is>
      </c>
      <c r="J468" t="inlineStr">
        <is>
          <t>No</t>
        </is>
      </c>
      <c r="K468" t="inlineStr">
        <is>
          <t>No</t>
        </is>
      </c>
      <c r="L468" t="inlineStr">
        <is>
          <t>0</t>
        </is>
      </c>
      <c r="M468" t="inlineStr">
        <is>
          <t>Kilner, John Frederic.</t>
        </is>
      </c>
      <c r="N468" t="inlineStr">
        <is>
          <t>New Haven : Yale University Press, c1990.</t>
        </is>
      </c>
      <c r="O468" t="inlineStr">
        <is>
          <t>1990</t>
        </is>
      </c>
      <c r="Q468" t="inlineStr">
        <is>
          <t>eng</t>
        </is>
      </c>
      <c r="R468" t="inlineStr">
        <is>
          <t>xxu</t>
        </is>
      </c>
      <c r="T468" t="inlineStr">
        <is>
          <t xml:space="preserve">W  </t>
        </is>
      </c>
      <c r="U468" t="n">
        <v>14</v>
      </c>
      <c r="V468" t="n">
        <v>14</v>
      </c>
      <c r="W468" t="inlineStr">
        <is>
          <t>2004-11-07</t>
        </is>
      </c>
      <c r="X468" t="inlineStr">
        <is>
          <t>2004-11-07</t>
        </is>
      </c>
      <c r="Y468" t="inlineStr">
        <is>
          <t>1990-07-16</t>
        </is>
      </c>
      <c r="Z468" t="inlineStr">
        <is>
          <t>1990-07-16</t>
        </is>
      </c>
      <c r="AA468" t="n">
        <v>1068</v>
      </c>
      <c r="AB468" t="n">
        <v>937</v>
      </c>
      <c r="AC468" t="n">
        <v>950</v>
      </c>
      <c r="AD468" t="n">
        <v>6</v>
      </c>
      <c r="AE468" t="n">
        <v>6</v>
      </c>
      <c r="AF468" t="n">
        <v>52</v>
      </c>
      <c r="AG468" t="n">
        <v>52</v>
      </c>
      <c r="AH468" t="n">
        <v>18</v>
      </c>
      <c r="AI468" t="n">
        <v>18</v>
      </c>
      <c r="AJ468" t="n">
        <v>8</v>
      </c>
      <c r="AK468" t="n">
        <v>8</v>
      </c>
      <c r="AL468" t="n">
        <v>20</v>
      </c>
      <c r="AM468" t="n">
        <v>20</v>
      </c>
      <c r="AN468" t="n">
        <v>4</v>
      </c>
      <c r="AO468" t="n">
        <v>4</v>
      </c>
      <c r="AP468" t="n">
        <v>12</v>
      </c>
      <c r="AQ468" t="n">
        <v>12</v>
      </c>
      <c r="AR468" t="inlineStr">
        <is>
          <t>No</t>
        </is>
      </c>
      <c r="AS468" t="inlineStr">
        <is>
          <t>Yes</t>
        </is>
      </c>
      <c r="AT468">
        <f>HYPERLINK("http://catalog.hathitrust.org/Record/001948388","HathiTrust Record")</f>
        <v/>
      </c>
      <c r="AU468">
        <f>HYPERLINK("https://creighton-primo.hosted.exlibrisgroup.com/primo-explore/search?tab=default_tab&amp;search_scope=EVERYTHING&amp;vid=01CRU&amp;lang=en_US&amp;offset=0&amp;query=any,contains,991001450089702656","Catalog Record")</f>
        <v/>
      </c>
      <c r="AV468">
        <f>HYPERLINK("http://www.worldcat.org/oclc/20013150","WorldCat Record")</f>
        <v/>
      </c>
      <c r="AW468" t="inlineStr">
        <is>
          <t>503205300:eng</t>
        </is>
      </c>
      <c r="AX468" t="inlineStr">
        <is>
          <t>20013150</t>
        </is>
      </c>
      <c r="AY468" t="inlineStr">
        <is>
          <t>991001450089702656</t>
        </is>
      </c>
      <c r="AZ468" t="inlineStr">
        <is>
          <t>991001450089702656</t>
        </is>
      </c>
      <c r="BA468" t="inlineStr">
        <is>
          <t>2260235920002656</t>
        </is>
      </c>
      <c r="BB468" t="inlineStr">
        <is>
          <t>BOOK</t>
        </is>
      </c>
      <c r="BD468" t="inlineStr">
        <is>
          <t>9780300046809</t>
        </is>
      </c>
      <c r="BE468" t="inlineStr">
        <is>
          <t>30001001882655</t>
        </is>
      </c>
      <c r="BF468" t="inlineStr">
        <is>
          <t>893832202</t>
        </is>
      </c>
    </row>
    <row r="469">
      <c r="A469" t="inlineStr">
        <is>
          <t>No</t>
        </is>
      </c>
      <c r="B469" t="inlineStr">
        <is>
          <t>CUHSL</t>
        </is>
      </c>
      <c r="C469" t="inlineStr">
        <is>
          <t>SHELVES</t>
        </is>
      </c>
      <c r="D469" t="inlineStr">
        <is>
          <t>W 50 K53m 1991</t>
        </is>
      </c>
      <c r="E469" t="inlineStr">
        <is>
          <t>0                      W  0050000K  53m         1991</t>
        </is>
      </c>
      <c r="F469" t="inlineStr">
        <is>
          <t>Making sense of advance directives / Nancy King.</t>
        </is>
      </c>
      <c r="H469" t="inlineStr">
        <is>
          <t>No</t>
        </is>
      </c>
      <c r="I469" t="inlineStr">
        <is>
          <t>1</t>
        </is>
      </c>
      <c r="J469" t="inlineStr">
        <is>
          <t>Yes</t>
        </is>
      </c>
      <c r="K469" t="inlineStr">
        <is>
          <t>No</t>
        </is>
      </c>
      <c r="L469" t="inlineStr">
        <is>
          <t>1</t>
        </is>
      </c>
      <c r="M469" t="inlineStr">
        <is>
          <t>King, Nancy M. P.</t>
        </is>
      </c>
      <c r="N469" t="inlineStr">
        <is>
          <t>Dordrecht ; Boston : Kluwer Academic, c1991.</t>
        </is>
      </c>
      <c r="O469" t="inlineStr">
        <is>
          <t>1991</t>
        </is>
      </c>
      <c r="Q469" t="inlineStr">
        <is>
          <t>eng</t>
        </is>
      </c>
      <c r="R469" t="inlineStr">
        <is>
          <t xml:space="preserve">ne </t>
        </is>
      </c>
      <c r="S469" t="inlineStr">
        <is>
          <t>Clinical medical ethics ; v. 2</t>
        </is>
      </c>
      <c r="T469" t="inlineStr">
        <is>
          <t xml:space="preserve">W  </t>
        </is>
      </c>
      <c r="U469" t="n">
        <v>12</v>
      </c>
      <c r="V469" t="n">
        <v>16</v>
      </c>
      <c r="W469" t="inlineStr">
        <is>
          <t>2002-12-11</t>
        </is>
      </c>
      <c r="X469" t="inlineStr">
        <is>
          <t>2003-02-13</t>
        </is>
      </c>
      <c r="Y469" t="inlineStr">
        <is>
          <t>1991-08-30</t>
        </is>
      </c>
      <c r="Z469" t="inlineStr">
        <is>
          <t>1991-10-29</t>
        </is>
      </c>
      <c r="AA469" t="n">
        <v>176</v>
      </c>
      <c r="AB469" t="n">
        <v>134</v>
      </c>
      <c r="AC469" t="n">
        <v>1373</v>
      </c>
      <c r="AD469" t="n">
        <v>2</v>
      </c>
      <c r="AE469" t="n">
        <v>16</v>
      </c>
      <c r="AF469" t="n">
        <v>9</v>
      </c>
      <c r="AG469" t="n">
        <v>70</v>
      </c>
      <c r="AH469" t="n">
        <v>1</v>
      </c>
      <c r="AI469" t="n">
        <v>20</v>
      </c>
      <c r="AJ469" t="n">
        <v>2</v>
      </c>
      <c r="AK469" t="n">
        <v>8</v>
      </c>
      <c r="AL469" t="n">
        <v>3</v>
      </c>
      <c r="AM469" t="n">
        <v>21</v>
      </c>
      <c r="AN469" t="n">
        <v>0</v>
      </c>
      <c r="AO469" t="n">
        <v>13</v>
      </c>
      <c r="AP469" t="n">
        <v>4</v>
      </c>
      <c r="AQ469" t="n">
        <v>18</v>
      </c>
      <c r="AR469" t="inlineStr">
        <is>
          <t>No</t>
        </is>
      </c>
      <c r="AS469" t="inlineStr">
        <is>
          <t>No</t>
        </is>
      </c>
      <c r="AU469">
        <f>HYPERLINK("https://creighton-primo.hosted.exlibrisgroup.com/primo-explore/search?tab=default_tab&amp;search_scope=EVERYTHING&amp;vid=01CRU&amp;lang=en_US&amp;offset=0&amp;query=any,contains,991001648139702656","Catalog Record")</f>
        <v/>
      </c>
      <c r="AV469">
        <f>HYPERLINK("http://www.worldcat.org/oclc/23140438","WorldCat Record")</f>
        <v/>
      </c>
      <c r="AW469" t="inlineStr">
        <is>
          <t>1034947:eng</t>
        </is>
      </c>
      <c r="AX469" t="inlineStr">
        <is>
          <t>23140438</t>
        </is>
      </c>
      <c r="AY469" t="inlineStr">
        <is>
          <t>991001648139702656</t>
        </is>
      </c>
      <c r="AZ469" t="inlineStr">
        <is>
          <t>991001648139702656</t>
        </is>
      </c>
      <c r="BA469" t="inlineStr">
        <is>
          <t>2266742020002656</t>
        </is>
      </c>
      <c r="BB469" t="inlineStr">
        <is>
          <t>BOOK</t>
        </is>
      </c>
      <c r="BD469" t="inlineStr">
        <is>
          <t>9780792311638</t>
        </is>
      </c>
      <c r="BE469" t="inlineStr">
        <is>
          <t>30001002193870</t>
        </is>
      </c>
      <c r="BF469" t="inlineStr">
        <is>
          <t>893279240</t>
        </is>
      </c>
    </row>
    <row r="470">
      <c r="A470" t="inlineStr">
        <is>
          <t>No</t>
        </is>
      </c>
      <c r="B470" t="inlineStr">
        <is>
          <t>CUHSL</t>
        </is>
      </c>
      <c r="C470" t="inlineStr">
        <is>
          <t>SHELVES</t>
        </is>
      </c>
      <c r="D470" t="inlineStr">
        <is>
          <t>W 50 K66p 1975</t>
        </is>
      </c>
      <c r="E470" t="inlineStr">
        <is>
          <t>0                      W  0050000K  66p         1975</t>
        </is>
      </c>
      <c r="F470" t="inlineStr">
        <is>
          <t>The practice of death / Eike-Henner W. Kluge.</t>
        </is>
      </c>
      <c r="H470" t="inlineStr">
        <is>
          <t>No</t>
        </is>
      </c>
      <c r="I470" t="inlineStr">
        <is>
          <t>1</t>
        </is>
      </c>
      <c r="J470" t="inlineStr">
        <is>
          <t>No</t>
        </is>
      </c>
      <c r="K470" t="inlineStr">
        <is>
          <t>No</t>
        </is>
      </c>
      <c r="L470" t="inlineStr">
        <is>
          <t>0</t>
        </is>
      </c>
      <c r="M470" t="inlineStr">
        <is>
          <t>Kluge, Eike-Henner W.</t>
        </is>
      </c>
      <c r="N470" t="inlineStr">
        <is>
          <t>New Haven : Yale University Press, 1975.</t>
        </is>
      </c>
      <c r="O470" t="inlineStr">
        <is>
          <t>1975</t>
        </is>
      </c>
      <c r="Q470" t="inlineStr">
        <is>
          <t>eng</t>
        </is>
      </c>
      <c r="R470" t="inlineStr">
        <is>
          <t>ctu</t>
        </is>
      </c>
      <c r="T470" t="inlineStr">
        <is>
          <t xml:space="preserve">W  </t>
        </is>
      </c>
      <c r="U470" t="n">
        <v>7</v>
      </c>
      <c r="V470" t="n">
        <v>7</v>
      </c>
      <c r="W470" t="inlineStr">
        <is>
          <t>1997-03-16</t>
        </is>
      </c>
      <c r="X470" t="inlineStr">
        <is>
          <t>1997-03-16</t>
        </is>
      </c>
      <c r="Y470" t="inlineStr">
        <is>
          <t>1987-10-08</t>
        </is>
      </c>
      <c r="Z470" t="inlineStr">
        <is>
          <t>1987-10-08</t>
        </is>
      </c>
      <c r="AA470" t="n">
        <v>850</v>
      </c>
      <c r="AB470" t="n">
        <v>706</v>
      </c>
      <c r="AC470" t="n">
        <v>706</v>
      </c>
      <c r="AD470" t="n">
        <v>5</v>
      </c>
      <c r="AE470" t="n">
        <v>5</v>
      </c>
      <c r="AF470" t="n">
        <v>32</v>
      </c>
      <c r="AG470" t="n">
        <v>32</v>
      </c>
      <c r="AH470" t="n">
        <v>10</v>
      </c>
      <c r="AI470" t="n">
        <v>10</v>
      </c>
      <c r="AJ470" t="n">
        <v>6</v>
      </c>
      <c r="AK470" t="n">
        <v>6</v>
      </c>
      <c r="AL470" t="n">
        <v>15</v>
      </c>
      <c r="AM470" t="n">
        <v>15</v>
      </c>
      <c r="AN470" t="n">
        <v>4</v>
      </c>
      <c r="AO470" t="n">
        <v>4</v>
      </c>
      <c r="AP470" t="n">
        <v>4</v>
      </c>
      <c r="AQ470" t="n">
        <v>4</v>
      </c>
      <c r="AR470" t="inlineStr">
        <is>
          <t>No</t>
        </is>
      </c>
      <c r="AS470" t="inlineStr">
        <is>
          <t>No</t>
        </is>
      </c>
      <c r="AU470">
        <f>HYPERLINK("https://creighton-primo.hosted.exlibrisgroup.com/primo-explore/search?tab=default_tab&amp;search_scope=EVERYTHING&amp;vid=01CRU&amp;lang=en_US&amp;offset=0&amp;query=any,contains,991001433829702656","Catalog Record")</f>
        <v/>
      </c>
      <c r="AV470">
        <f>HYPERLINK("http://www.worldcat.org/oclc/1229464","WorldCat Record")</f>
        <v/>
      </c>
      <c r="AW470" t="inlineStr">
        <is>
          <t>2129521:eng</t>
        </is>
      </c>
      <c r="AX470" t="inlineStr">
        <is>
          <t>1229464</t>
        </is>
      </c>
      <c r="AY470" t="inlineStr">
        <is>
          <t>991001433829702656</t>
        </is>
      </c>
      <c r="AZ470" t="inlineStr">
        <is>
          <t>991001433829702656</t>
        </is>
      </c>
      <c r="BA470" t="inlineStr">
        <is>
          <t>2268211000002656</t>
        </is>
      </c>
      <c r="BB470" t="inlineStr">
        <is>
          <t>BOOK</t>
        </is>
      </c>
      <c r="BD470" t="inlineStr">
        <is>
          <t>9780300018066</t>
        </is>
      </c>
      <c r="BE470" t="inlineStr">
        <is>
          <t>30001000526378</t>
        </is>
      </c>
      <c r="BF470" t="inlineStr">
        <is>
          <t>893743780</t>
        </is>
      </c>
    </row>
    <row r="471">
      <c r="A471" t="inlineStr">
        <is>
          <t>No</t>
        </is>
      </c>
      <c r="B471" t="inlineStr">
        <is>
          <t>CUHSL</t>
        </is>
      </c>
      <c r="C471" t="inlineStr">
        <is>
          <t>SHELVES</t>
        </is>
      </c>
      <c r="D471" t="inlineStr">
        <is>
          <t>W 50 K73 1980</t>
        </is>
      </c>
      <c r="E471" t="inlineStr">
        <is>
          <t>0                      W  0050000K  73          1980</t>
        </is>
      </c>
      <c r="F471" t="inlineStr">
        <is>
          <t>Knowing and valuing : the search for common roots / edited by H. Tristram Engelhardt, Jr. and Daniel Callahan.</t>
        </is>
      </c>
      <c r="H471" t="inlineStr">
        <is>
          <t>No</t>
        </is>
      </c>
      <c r="I471" t="inlineStr">
        <is>
          <t>1</t>
        </is>
      </c>
      <c r="J471" t="inlineStr">
        <is>
          <t>No</t>
        </is>
      </c>
      <c r="K471" t="inlineStr">
        <is>
          <t>No</t>
        </is>
      </c>
      <c r="L471" t="inlineStr">
        <is>
          <t>0</t>
        </is>
      </c>
      <c r="N471" t="inlineStr">
        <is>
          <t>Hastings-on-Huston, N.Y. : Hastings Center, Institute of Society, Ethics, and the Life Sciences, c1980.</t>
        </is>
      </c>
      <c r="O471" t="inlineStr">
        <is>
          <t>1980</t>
        </is>
      </c>
      <c r="Q471" t="inlineStr">
        <is>
          <t>eng</t>
        </is>
      </c>
      <c r="R471" t="inlineStr">
        <is>
          <t>nyu</t>
        </is>
      </c>
      <c r="S471" t="inlineStr">
        <is>
          <t>The Foundations of ethics and its relationship to science ; v. 4</t>
        </is>
      </c>
      <c r="T471" t="inlineStr">
        <is>
          <t xml:space="preserve">W  </t>
        </is>
      </c>
      <c r="U471" t="n">
        <v>4</v>
      </c>
      <c r="V471" t="n">
        <v>4</v>
      </c>
      <c r="W471" t="inlineStr">
        <is>
          <t>1997-02-07</t>
        </is>
      </c>
      <c r="X471" t="inlineStr">
        <is>
          <t>1997-02-07</t>
        </is>
      </c>
      <c r="Y471" t="inlineStr">
        <is>
          <t>1987-10-02</t>
        </is>
      </c>
      <c r="Z471" t="inlineStr">
        <is>
          <t>1987-10-02</t>
        </is>
      </c>
      <c r="AA471" t="n">
        <v>562</v>
      </c>
      <c r="AB471" t="n">
        <v>509</v>
      </c>
      <c r="AC471" t="n">
        <v>511</v>
      </c>
      <c r="AD471" t="n">
        <v>4</v>
      </c>
      <c r="AE471" t="n">
        <v>4</v>
      </c>
      <c r="AF471" t="n">
        <v>32</v>
      </c>
      <c r="AG471" t="n">
        <v>32</v>
      </c>
      <c r="AH471" t="n">
        <v>10</v>
      </c>
      <c r="AI471" t="n">
        <v>10</v>
      </c>
      <c r="AJ471" t="n">
        <v>8</v>
      </c>
      <c r="AK471" t="n">
        <v>8</v>
      </c>
      <c r="AL471" t="n">
        <v>18</v>
      </c>
      <c r="AM471" t="n">
        <v>18</v>
      </c>
      <c r="AN471" t="n">
        <v>3</v>
      </c>
      <c r="AO471" t="n">
        <v>3</v>
      </c>
      <c r="AP471" t="n">
        <v>1</v>
      </c>
      <c r="AQ471" t="n">
        <v>1</v>
      </c>
      <c r="AR471" t="inlineStr">
        <is>
          <t>No</t>
        </is>
      </c>
      <c r="AS471" t="inlineStr">
        <is>
          <t>Yes</t>
        </is>
      </c>
      <c r="AT471">
        <f>HYPERLINK("http://catalog.hathitrust.org/Record/000699249","HathiTrust Record")</f>
        <v/>
      </c>
      <c r="AU471">
        <f>HYPERLINK("https://creighton-primo.hosted.exlibrisgroup.com/primo-explore/search?tab=default_tab&amp;search_scope=EVERYTHING&amp;vid=01CRU&amp;lang=en_US&amp;offset=0&amp;query=any,contains,991001256069702656","Catalog Record")</f>
        <v/>
      </c>
      <c r="AV471">
        <f>HYPERLINK("http://www.worldcat.org/oclc/5675747","WorldCat Record")</f>
        <v/>
      </c>
      <c r="AW471" t="inlineStr">
        <is>
          <t>309040366:eng</t>
        </is>
      </c>
      <c r="AX471" t="inlineStr">
        <is>
          <t>5675747</t>
        </is>
      </c>
      <c r="AY471" t="inlineStr">
        <is>
          <t>991001256069702656</t>
        </is>
      </c>
      <c r="AZ471" t="inlineStr">
        <is>
          <t>991001256069702656</t>
        </is>
      </c>
      <c r="BA471" t="inlineStr">
        <is>
          <t>2260692500002656</t>
        </is>
      </c>
      <c r="BB471" t="inlineStr">
        <is>
          <t>BOOK</t>
        </is>
      </c>
      <c r="BD471" t="inlineStr">
        <is>
          <t>9780916558048</t>
        </is>
      </c>
      <c r="BE471" t="inlineStr">
        <is>
          <t>30001000344855</t>
        </is>
      </c>
      <c r="BF471" t="inlineStr">
        <is>
          <t>893638146</t>
        </is>
      </c>
    </row>
    <row r="472">
      <c r="A472" t="inlineStr">
        <is>
          <t>No</t>
        </is>
      </c>
      <c r="B472" t="inlineStr">
        <is>
          <t>CUHSL</t>
        </is>
      </c>
      <c r="C472" t="inlineStr">
        <is>
          <t>SHELVES</t>
        </is>
      </c>
      <c r="D472" t="inlineStr">
        <is>
          <t>W 50 K924n 1994</t>
        </is>
      </c>
      <c r="E472" t="inlineStr">
        <is>
          <t>0                      W  0050000K  924n        1994</t>
        </is>
      </c>
      <c r="F472" t="inlineStr">
        <is>
          <t>Negotiating at an uneven table : developing moral courage in resolving our conflicts / Phyllis Beck Kritek.</t>
        </is>
      </c>
      <c r="H472" t="inlineStr">
        <is>
          <t>No</t>
        </is>
      </c>
      <c r="I472" t="inlineStr">
        <is>
          <t>1</t>
        </is>
      </c>
      <c r="J472" t="inlineStr">
        <is>
          <t>Yes</t>
        </is>
      </c>
      <c r="K472" t="inlineStr">
        <is>
          <t>Yes</t>
        </is>
      </c>
      <c r="L472" t="inlineStr">
        <is>
          <t>0</t>
        </is>
      </c>
      <c r="M472" t="inlineStr">
        <is>
          <t>Kritek, Phyllis Beck, 1943-</t>
        </is>
      </c>
      <c r="N472" t="inlineStr">
        <is>
          <t>San Francisco : Jossey-Bass Publishers, c1994.</t>
        </is>
      </c>
      <c r="O472" t="inlineStr">
        <is>
          <t>1994</t>
        </is>
      </c>
      <c r="P472" t="inlineStr">
        <is>
          <t>1st ed.</t>
        </is>
      </c>
      <c r="Q472" t="inlineStr">
        <is>
          <t>eng</t>
        </is>
      </c>
      <c r="R472" t="inlineStr">
        <is>
          <t>cau</t>
        </is>
      </c>
      <c r="T472" t="inlineStr">
        <is>
          <t xml:space="preserve">W  </t>
        </is>
      </c>
      <c r="U472" t="n">
        <v>0</v>
      </c>
      <c r="V472" t="n">
        <v>6</v>
      </c>
      <c r="X472" t="inlineStr">
        <is>
          <t>2010-03-11</t>
        </is>
      </c>
      <c r="Y472" t="inlineStr">
        <is>
          <t>2002-05-30</t>
        </is>
      </c>
      <c r="Z472" t="inlineStr">
        <is>
          <t>2002-05-30</t>
        </is>
      </c>
      <c r="AA472" t="n">
        <v>404</v>
      </c>
      <c r="AB472" t="n">
        <v>360</v>
      </c>
      <c r="AC472" t="n">
        <v>647</v>
      </c>
      <c r="AD472" t="n">
        <v>7</v>
      </c>
      <c r="AE472" t="n">
        <v>9</v>
      </c>
      <c r="AF472" t="n">
        <v>32</v>
      </c>
      <c r="AG472" t="n">
        <v>48</v>
      </c>
      <c r="AH472" t="n">
        <v>10</v>
      </c>
      <c r="AI472" t="n">
        <v>16</v>
      </c>
      <c r="AJ472" t="n">
        <v>6</v>
      </c>
      <c r="AK472" t="n">
        <v>10</v>
      </c>
      <c r="AL472" t="n">
        <v>16</v>
      </c>
      <c r="AM472" t="n">
        <v>21</v>
      </c>
      <c r="AN472" t="n">
        <v>3</v>
      </c>
      <c r="AO472" t="n">
        <v>4</v>
      </c>
      <c r="AP472" t="n">
        <v>6</v>
      </c>
      <c r="AQ472" t="n">
        <v>9</v>
      </c>
      <c r="AR472" t="inlineStr">
        <is>
          <t>No</t>
        </is>
      </c>
      <c r="AS472" t="inlineStr">
        <is>
          <t>Yes</t>
        </is>
      </c>
      <c r="AT472">
        <f>HYPERLINK("http://catalog.hathitrust.org/Record/003071057","HathiTrust Record")</f>
        <v/>
      </c>
      <c r="AU472">
        <f>HYPERLINK("https://creighton-primo.hosted.exlibrisgroup.com/primo-explore/search?tab=default_tab&amp;search_scope=EVERYTHING&amp;vid=01CRU&amp;lang=en_US&amp;offset=0&amp;query=any,contains,991001663269702656","Catalog Record")</f>
        <v/>
      </c>
      <c r="AV472">
        <f>HYPERLINK("http://www.worldcat.org/oclc/30812112","WorldCat Record")</f>
        <v/>
      </c>
      <c r="AW472" t="inlineStr">
        <is>
          <t>32718727:eng</t>
        </is>
      </c>
      <c r="AX472" t="inlineStr">
        <is>
          <t>30812112</t>
        </is>
      </c>
      <c r="AY472" t="inlineStr">
        <is>
          <t>991001663269702656</t>
        </is>
      </c>
      <c r="AZ472" t="inlineStr">
        <is>
          <t>991001663269702656</t>
        </is>
      </c>
      <c r="BA472" t="inlineStr">
        <is>
          <t>2267841510002656</t>
        </is>
      </c>
      <c r="BB472" t="inlineStr">
        <is>
          <t>BOOK</t>
        </is>
      </c>
      <c r="BD472" t="inlineStr">
        <is>
          <t>9781555426705</t>
        </is>
      </c>
      <c r="BE472" t="inlineStr">
        <is>
          <t>30001003261288</t>
        </is>
      </c>
      <c r="BF472" t="inlineStr">
        <is>
          <t>893741266</t>
        </is>
      </c>
    </row>
    <row r="473">
      <c r="A473" t="inlineStr">
        <is>
          <t>No</t>
        </is>
      </c>
      <c r="B473" t="inlineStr">
        <is>
          <t>CUHSL</t>
        </is>
      </c>
      <c r="C473" t="inlineStr">
        <is>
          <t>SHELVES</t>
        </is>
      </c>
      <c r="D473" t="inlineStr">
        <is>
          <t>W 50 L336e 1985</t>
        </is>
      </c>
      <c r="E473" t="inlineStr">
        <is>
          <t>0                      W  0050000L  336e        1985</t>
        </is>
      </c>
      <c r="F473" t="inlineStr">
        <is>
          <t>Euthanasia and religion : a survey of the attitudes of world religions to the right-to-die / Gerald A. Larue.</t>
        </is>
      </c>
      <c r="H473" t="inlineStr">
        <is>
          <t>No</t>
        </is>
      </c>
      <c r="I473" t="inlineStr">
        <is>
          <t>1</t>
        </is>
      </c>
      <c r="J473" t="inlineStr">
        <is>
          <t>No</t>
        </is>
      </c>
      <c r="K473" t="inlineStr">
        <is>
          <t>No</t>
        </is>
      </c>
      <c r="L473" t="inlineStr">
        <is>
          <t>0</t>
        </is>
      </c>
      <c r="M473" t="inlineStr">
        <is>
          <t>Larue, Gerald A.</t>
        </is>
      </c>
      <c r="N473" t="inlineStr">
        <is>
          <t>Los Angeles : Hemlock Society, c1985.</t>
        </is>
      </c>
      <c r="O473" t="inlineStr">
        <is>
          <t>1985</t>
        </is>
      </c>
      <c r="Q473" t="inlineStr">
        <is>
          <t>eng</t>
        </is>
      </c>
      <c r="R473" t="inlineStr">
        <is>
          <t>cau</t>
        </is>
      </c>
      <c r="T473" t="inlineStr">
        <is>
          <t xml:space="preserve">W  </t>
        </is>
      </c>
      <c r="U473" t="n">
        <v>15</v>
      </c>
      <c r="V473" t="n">
        <v>15</v>
      </c>
      <c r="W473" t="inlineStr">
        <is>
          <t>2002-11-27</t>
        </is>
      </c>
      <c r="X473" t="inlineStr">
        <is>
          <t>2002-11-27</t>
        </is>
      </c>
      <c r="Y473" t="inlineStr">
        <is>
          <t>1987-10-02</t>
        </is>
      </c>
      <c r="Z473" t="inlineStr">
        <is>
          <t>1987-10-02</t>
        </is>
      </c>
      <c r="AA473" t="n">
        <v>1000</v>
      </c>
      <c r="AB473" t="n">
        <v>924</v>
      </c>
      <c r="AC473" t="n">
        <v>937</v>
      </c>
      <c r="AD473" t="n">
        <v>8</v>
      </c>
      <c r="AE473" t="n">
        <v>8</v>
      </c>
      <c r="AF473" t="n">
        <v>32</v>
      </c>
      <c r="AG473" t="n">
        <v>33</v>
      </c>
      <c r="AH473" t="n">
        <v>12</v>
      </c>
      <c r="AI473" t="n">
        <v>13</v>
      </c>
      <c r="AJ473" t="n">
        <v>6</v>
      </c>
      <c r="AK473" t="n">
        <v>6</v>
      </c>
      <c r="AL473" t="n">
        <v>14</v>
      </c>
      <c r="AM473" t="n">
        <v>14</v>
      </c>
      <c r="AN473" t="n">
        <v>4</v>
      </c>
      <c r="AO473" t="n">
        <v>4</v>
      </c>
      <c r="AP473" t="n">
        <v>2</v>
      </c>
      <c r="AQ473" t="n">
        <v>2</v>
      </c>
      <c r="AR473" t="inlineStr">
        <is>
          <t>No</t>
        </is>
      </c>
      <c r="AS473" t="inlineStr">
        <is>
          <t>Yes</t>
        </is>
      </c>
      <c r="AT473">
        <f>HYPERLINK("http://catalog.hathitrust.org/Record/000349727","HathiTrust Record")</f>
        <v/>
      </c>
      <c r="AU473">
        <f>HYPERLINK("https://creighton-primo.hosted.exlibrisgroup.com/primo-explore/search?tab=default_tab&amp;search_scope=EVERYTHING&amp;vid=01CRU&amp;lang=en_US&amp;offset=0&amp;query=any,contains,991001256209702656","Catalog Record")</f>
        <v/>
      </c>
      <c r="AV473">
        <f>HYPERLINK("http://www.worldcat.org/oclc/12009130","WorldCat Record")</f>
        <v/>
      </c>
      <c r="AW473" t="inlineStr">
        <is>
          <t>4376395:eng</t>
        </is>
      </c>
      <c r="AX473" t="inlineStr">
        <is>
          <t>12009130</t>
        </is>
      </c>
      <c r="AY473" t="inlineStr">
        <is>
          <t>991001256209702656</t>
        </is>
      </c>
      <c r="AZ473" t="inlineStr">
        <is>
          <t>991001256209702656</t>
        </is>
      </c>
      <c r="BA473" t="inlineStr">
        <is>
          <t>2260632100002656</t>
        </is>
      </c>
      <c r="BB473" t="inlineStr">
        <is>
          <t>BOOK</t>
        </is>
      </c>
      <c r="BD473" t="inlineStr">
        <is>
          <t>9780960603039</t>
        </is>
      </c>
      <c r="BE473" t="inlineStr">
        <is>
          <t>30001000344871</t>
        </is>
      </c>
      <c r="BF473" t="inlineStr">
        <is>
          <t>893284607</t>
        </is>
      </c>
    </row>
    <row r="474">
      <c r="A474" t="inlineStr">
        <is>
          <t>No</t>
        </is>
      </c>
      <c r="B474" t="inlineStr">
        <is>
          <t>CUHSL</t>
        </is>
      </c>
      <c r="C474" t="inlineStr">
        <is>
          <t>SHELVES</t>
        </is>
      </c>
      <c r="D474" t="inlineStr">
        <is>
          <t>W 50 L665e 1986</t>
        </is>
      </c>
      <c r="E474" t="inlineStr">
        <is>
          <t>0                      W  0050000L  665e        1986</t>
        </is>
      </c>
      <c r="F474" t="inlineStr">
        <is>
          <t>Ethics and regulation of clinical research / Robert J. Levine.</t>
        </is>
      </c>
      <c r="H474" t="inlineStr">
        <is>
          <t>No</t>
        </is>
      </c>
      <c r="I474" t="inlineStr">
        <is>
          <t>1</t>
        </is>
      </c>
      <c r="J474" t="inlineStr">
        <is>
          <t>Yes</t>
        </is>
      </c>
      <c r="K474" t="inlineStr">
        <is>
          <t>No</t>
        </is>
      </c>
      <c r="L474" t="inlineStr">
        <is>
          <t>0</t>
        </is>
      </c>
      <c r="M474" t="inlineStr">
        <is>
          <t>Levine, Robert J.</t>
        </is>
      </c>
      <c r="N474" t="inlineStr">
        <is>
          <t>Baltimore : Urban &amp; Schwarzenberg, c1986.</t>
        </is>
      </c>
      <c r="O474" t="inlineStr">
        <is>
          <t>1986</t>
        </is>
      </c>
      <c r="Q474" t="inlineStr">
        <is>
          <t>eng</t>
        </is>
      </c>
      <c r="R474" t="inlineStr">
        <is>
          <t>xxu</t>
        </is>
      </c>
      <c r="T474" t="inlineStr">
        <is>
          <t xml:space="preserve">W  </t>
        </is>
      </c>
      <c r="U474" t="n">
        <v>28</v>
      </c>
      <c r="V474" t="n">
        <v>28</v>
      </c>
      <c r="W474" t="inlineStr">
        <is>
          <t>2005-10-11</t>
        </is>
      </c>
      <c r="X474" t="inlineStr">
        <is>
          <t>2005-10-11</t>
        </is>
      </c>
      <c r="Y474" t="inlineStr">
        <is>
          <t>1987-10-02</t>
        </is>
      </c>
      <c r="Z474" t="inlineStr">
        <is>
          <t>1987-10-02</t>
        </is>
      </c>
      <c r="AA474" t="n">
        <v>401</v>
      </c>
      <c r="AB474" t="n">
        <v>314</v>
      </c>
      <c r="AC474" t="n">
        <v>777</v>
      </c>
      <c r="AD474" t="n">
        <v>3</v>
      </c>
      <c r="AE474" t="n">
        <v>4</v>
      </c>
      <c r="AF474" t="n">
        <v>18</v>
      </c>
      <c r="AG474" t="n">
        <v>47</v>
      </c>
      <c r="AH474" t="n">
        <v>3</v>
      </c>
      <c r="AI474" t="n">
        <v>15</v>
      </c>
      <c r="AJ474" t="n">
        <v>3</v>
      </c>
      <c r="AK474" t="n">
        <v>7</v>
      </c>
      <c r="AL474" t="n">
        <v>7</v>
      </c>
      <c r="AM474" t="n">
        <v>19</v>
      </c>
      <c r="AN474" t="n">
        <v>0</v>
      </c>
      <c r="AO474" t="n">
        <v>1</v>
      </c>
      <c r="AP474" t="n">
        <v>8</v>
      </c>
      <c r="AQ474" t="n">
        <v>17</v>
      </c>
      <c r="AR474" t="inlineStr">
        <is>
          <t>No</t>
        </is>
      </c>
      <c r="AS474" t="inlineStr">
        <is>
          <t>No</t>
        </is>
      </c>
      <c r="AU474">
        <f>HYPERLINK("https://creighton-primo.hosted.exlibrisgroup.com/primo-explore/search?tab=default_tab&amp;search_scope=EVERYTHING&amp;vid=01CRU&amp;lang=en_US&amp;offset=0&amp;query=any,contains,991001256309702656","Catalog Record")</f>
        <v/>
      </c>
      <c r="AV474">
        <f>HYPERLINK("http://www.worldcat.org/oclc/13426443","WorldCat Record")</f>
        <v/>
      </c>
      <c r="AW474" t="inlineStr">
        <is>
          <t>7332277:eng</t>
        </is>
      </c>
      <c r="AX474" t="inlineStr">
        <is>
          <t>13426443</t>
        </is>
      </c>
      <c r="AY474" t="inlineStr">
        <is>
          <t>991001256309702656</t>
        </is>
      </c>
      <c r="AZ474" t="inlineStr">
        <is>
          <t>991001256309702656</t>
        </is>
      </c>
      <c r="BA474" t="inlineStr">
        <is>
          <t>2266107620002656</t>
        </is>
      </c>
      <c r="BB474" t="inlineStr">
        <is>
          <t>BOOK</t>
        </is>
      </c>
      <c r="BD474" t="inlineStr">
        <is>
          <t>9780806711126</t>
        </is>
      </c>
      <c r="BE474" t="inlineStr">
        <is>
          <t>30001000344905</t>
        </is>
      </c>
      <c r="BF474" t="inlineStr">
        <is>
          <t>893736362</t>
        </is>
      </c>
    </row>
    <row r="475">
      <c r="A475" t="inlineStr">
        <is>
          <t>No</t>
        </is>
      </c>
      <c r="B475" t="inlineStr">
        <is>
          <t>CUHSL</t>
        </is>
      </c>
      <c r="C475" t="inlineStr">
        <is>
          <t>SHELVES</t>
        </is>
      </c>
      <c r="D475" t="inlineStr">
        <is>
          <t>W 50 L735e 1982</t>
        </is>
      </c>
      <c r="E475" t="inlineStr">
        <is>
          <t>0                      W  0050000L  735e        1982</t>
        </is>
      </c>
      <c r="F475" t="inlineStr">
        <is>
          <t>Euthanasia and clinical practice : trends, principles, and alternatives : the report of a working party.</t>
        </is>
      </c>
      <c r="H475" t="inlineStr">
        <is>
          <t>No</t>
        </is>
      </c>
      <c r="I475" t="inlineStr">
        <is>
          <t>1</t>
        </is>
      </c>
      <c r="J475" t="inlineStr">
        <is>
          <t>No</t>
        </is>
      </c>
      <c r="K475" t="inlineStr">
        <is>
          <t>No</t>
        </is>
      </c>
      <c r="L475" t="inlineStr">
        <is>
          <t>0</t>
        </is>
      </c>
      <c r="M475" t="inlineStr">
        <is>
          <t>Linacre Centre.</t>
        </is>
      </c>
      <c r="N475" t="inlineStr">
        <is>
          <t>London : Linacre Centre, c1982.</t>
        </is>
      </c>
      <c r="O475" t="inlineStr">
        <is>
          <t>1982</t>
        </is>
      </c>
      <c r="Q475" t="inlineStr">
        <is>
          <t>eng</t>
        </is>
      </c>
      <c r="R475" t="inlineStr">
        <is>
          <t>enk</t>
        </is>
      </c>
      <c r="T475" t="inlineStr">
        <is>
          <t xml:space="preserve">W  </t>
        </is>
      </c>
      <c r="U475" t="n">
        <v>20</v>
      </c>
      <c r="V475" t="n">
        <v>20</v>
      </c>
      <c r="W475" t="inlineStr">
        <is>
          <t>1999-02-17</t>
        </is>
      </c>
      <c r="X475" t="inlineStr">
        <is>
          <t>1999-02-17</t>
        </is>
      </c>
      <c r="Y475" t="inlineStr">
        <is>
          <t>1988-04-27</t>
        </is>
      </c>
      <c r="Z475" t="inlineStr">
        <is>
          <t>1988-04-27</t>
        </is>
      </c>
      <c r="AA475" t="n">
        <v>101</v>
      </c>
      <c r="AB475" t="n">
        <v>44</v>
      </c>
      <c r="AC475" t="n">
        <v>45</v>
      </c>
      <c r="AD475" t="n">
        <v>1</v>
      </c>
      <c r="AE475" t="n">
        <v>1</v>
      </c>
      <c r="AF475" t="n">
        <v>5</v>
      </c>
      <c r="AG475" t="n">
        <v>5</v>
      </c>
      <c r="AH475" t="n">
        <v>1</v>
      </c>
      <c r="AI475" t="n">
        <v>1</v>
      </c>
      <c r="AJ475" t="n">
        <v>0</v>
      </c>
      <c r="AK475" t="n">
        <v>0</v>
      </c>
      <c r="AL475" t="n">
        <v>5</v>
      </c>
      <c r="AM475" t="n">
        <v>5</v>
      </c>
      <c r="AN475" t="n">
        <v>0</v>
      </c>
      <c r="AO475" t="n">
        <v>0</v>
      </c>
      <c r="AP475" t="n">
        <v>0</v>
      </c>
      <c r="AQ475" t="n">
        <v>0</v>
      </c>
      <c r="AR475" t="inlineStr">
        <is>
          <t>No</t>
        </is>
      </c>
      <c r="AS475" t="inlineStr">
        <is>
          <t>No</t>
        </is>
      </c>
      <c r="AU475">
        <f>HYPERLINK("https://creighton-primo.hosted.exlibrisgroup.com/primo-explore/search?tab=default_tab&amp;search_scope=EVERYTHING&amp;vid=01CRU&amp;lang=en_US&amp;offset=0&amp;query=any,contains,991001476439702656","Catalog Record")</f>
        <v/>
      </c>
      <c r="AV475">
        <f>HYPERLINK("http://www.worldcat.org/oclc/10017726","WorldCat Record")</f>
        <v/>
      </c>
      <c r="AW475" t="inlineStr">
        <is>
          <t>1102435296:eng</t>
        </is>
      </c>
      <c r="AX475" t="inlineStr">
        <is>
          <t>10017726</t>
        </is>
      </c>
      <c r="AY475" t="inlineStr">
        <is>
          <t>991001476439702656</t>
        </is>
      </c>
      <c r="AZ475" t="inlineStr">
        <is>
          <t>991001476439702656</t>
        </is>
      </c>
      <c r="BA475" t="inlineStr">
        <is>
          <t>2269609270002656</t>
        </is>
      </c>
      <c r="BB475" t="inlineStr">
        <is>
          <t>BOOK</t>
        </is>
      </c>
      <c r="BD475" t="inlineStr">
        <is>
          <t>9780906561034</t>
        </is>
      </c>
      <c r="BE475" t="inlineStr">
        <is>
          <t>30001000559411</t>
        </is>
      </c>
      <c r="BF475" t="inlineStr">
        <is>
          <t>893832226</t>
        </is>
      </c>
    </row>
    <row r="476">
      <c r="A476" t="inlineStr">
        <is>
          <t>No</t>
        </is>
      </c>
      <c r="B476" t="inlineStr">
        <is>
          <t>CUHSL</t>
        </is>
      </c>
      <c r="C476" t="inlineStr">
        <is>
          <t>SHELVES</t>
        </is>
      </c>
      <c r="D476" t="inlineStr">
        <is>
          <t>W 50 L795r 2000</t>
        </is>
      </c>
      <c r="E476" t="inlineStr">
        <is>
          <t>0                      W  0050000L  795r        2000</t>
        </is>
      </c>
      <c r="F476" t="inlineStr">
        <is>
          <t>Resolving ethical dilemmas : a guide for clinicians / Bernard Lo.</t>
        </is>
      </c>
      <c r="H476" t="inlineStr">
        <is>
          <t>No</t>
        </is>
      </c>
      <c r="I476" t="inlineStr">
        <is>
          <t>1</t>
        </is>
      </c>
      <c r="J476" t="inlineStr">
        <is>
          <t>No</t>
        </is>
      </c>
      <c r="K476" t="inlineStr">
        <is>
          <t>Yes</t>
        </is>
      </c>
      <c r="L476" t="inlineStr">
        <is>
          <t>1</t>
        </is>
      </c>
      <c r="M476" t="inlineStr">
        <is>
          <t>Lo, Bernard.</t>
        </is>
      </c>
      <c r="N476" t="inlineStr">
        <is>
          <t>Philadelphia : Lippincott Williams &amp; Wilkins, c2000.</t>
        </is>
      </c>
      <c r="O476" t="inlineStr">
        <is>
          <t>2000</t>
        </is>
      </c>
      <c r="P476" t="inlineStr">
        <is>
          <t>2nd ed.</t>
        </is>
      </c>
      <c r="Q476" t="inlineStr">
        <is>
          <t>eng</t>
        </is>
      </c>
      <c r="R476" t="inlineStr">
        <is>
          <t>pau</t>
        </is>
      </c>
      <c r="T476" t="inlineStr">
        <is>
          <t xml:space="preserve">W  </t>
        </is>
      </c>
      <c r="U476" t="n">
        <v>26</v>
      </c>
      <c r="V476" t="n">
        <v>26</v>
      </c>
      <c r="W476" t="inlineStr">
        <is>
          <t>2009-04-09</t>
        </is>
      </c>
      <c r="X476" t="inlineStr">
        <is>
          <t>2009-04-09</t>
        </is>
      </c>
      <c r="Y476" t="inlineStr">
        <is>
          <t>2000-07-20</t>
        </is>
      </c>
      <c r="Z476" t="inlineStr">
        <is>
          <t>2000-07-20</t>
        </is>
      </c>
      <c r="AA476" t="n">
        <v>281</v>
      </c>
      <c r="AB476" t="n">
        <v>229</v>
      </c>
      <c r="AC476" t="n">
        <v>741</v>
      </c>
      <c r="AD476" t="n">
        <v>1</v>
      </c>
      <c r="AE476" t="n">
        <v>4</v>
      </c>
      <c r="AF476" t="n">
        <v>8</v>
      </c>
      <c r="AG476" t="n">
        <v>33</v>
      </c>
      <c r="AH476" t="n">
        <v>1</v>
      </c>
      <c r="AI476" t="n">
        <v>10</v>
      </c>
      <c r="AJ476" t="n">
        <v>3</v>
      </c>
      <c r="AK476" t="n">
        <v>8</v>
      </c>
      <c r="AL476" t="n">
        <v>5</v>
      </c>
      <c r="AM476" t="n">
        <v>16</v>
      </c>
      <c r="AN476" t="n">
        <v>0</v>
      </c>
      <c r="AO476" t="n">
        <v>3</v>
      </c>
      <c r="AP476" t="n">
        <v>1</v>
      </c>
      <c r="AQ476" t="n">
        <v>3</v>
      </c>
      <c r="AR476" t="inlineStr">
        <is>
          <t>No</t>
        </is>
      </c>
      <c r="AS476" t="inlineStr">
        <is>
          <t>Yes</t>
        </is>
      </c>
      <c r="AT476">
        <f>HYPERLINK("http://catalog.hathitrust.org/Record/004097891","HathiTrust Record")</f>
        <v/>
      </c>
      <c r="AU476">
        <f>HYPERLINK("https://creighton-primo.hosted.exlibrisgroup.com/primo-explore/search?tab=default_tab&amp;search_scope=EVERYTHING&amp;vid=01CRU&amp;lang=en_US&amp;offset=0&amp;query=any,contains,991000276129702656","Catalog Record")</f>
        <v/>
      </c>
      <c r="AV476">
        <f>HYPERLINK("http://www.worldcat.org/oclc/42925708","WorldCat Record")</f>
        <v/>
      </c>
      <c r="AW476" t="inlineStr">
        <is>
          <t>836723562:eng</t>
        </is>
      </c>
      <c r="AX476" t="inlineStr">
        <is>
          <t>42925708</t>
        </is>
      </c>
      <c r="AY476" t="inlineStr">
        <is>
          <t>991000276129702656</t>
        </is>
      </c>
      <c r="AZ476" t="inlineStr">
        <is>
          <t>991000276129702656</t>
        </is>
      </c>
      <c r="BA476" t="inlineStr">
        <is>
          <t>2255277710002656</t>
        </is>
      </c>
      <c r="BB476" t="inlineStr">
        <is>
          <t>BOOK</t>
        </is>
      </c>
      <c r="BD476" t="inlineStr">
        <is>
          <t>9780781722193</t>
        </is>
      </c>
      <c r="BE476" t="inlineStr">
        <is>
          <t>30001003942077</t>
        </is>
      </c>
      <c r="BF476" t="inlineStr">
        <is>
          <t>893456503</t>
        </is>
      </c>
    </row>
    <row r="477">
      <c r="A477" t="inlineStr">
        <is>
          <t>No</t>
        </is>
      </c>
      <c r="B477" t="inlineStr">
        <is>
          <t>CUHSL</t>
        </is>
      </c>
      <c r="C477" t="inlineStr">
        <is>
          <t>SHELVES</t>
        </is>
      </c>
      <c r="D477" t="inlineStr">
        <is>
          <t>W 50 L827t 1996</t>
        </is>
      </c>
      <c r="E477" t="inlineStr">
        <is>
          <t>0                      W  0050000L  827t        1996</t>
        </is>
      </c>
      <c r="F477" t="inlineStr">
        <is>
          <t>Textbook of healthcare ethics / Erich H. Loewy.</t>
        </is>
      </c>
      <c r="H477" t="inlineStr">
        <is>
          <t>No</t>
        </is>
      </c>
      <c r="I477" t="inlineStr">
        <is>
          <t>1</t>
        </is>
      </c>
      <c r="J477" t="inlineStr">
        <is>
          <t>No</t>
        </is>
      </c>
      <c r="K477" t="inlineStr">
        <is>
          <t>No</t>
        </is>
      </c>
      <c r="L477" t="inlineStr">
        <is>
          <t>1</t>
        </is>
      </c>
      <c r="M477" t="inlineStr">
        <is>
          <t>Loewy, Erich H.</t>
        </is>
      </c>
      <c r="N477" t="inlineStr">
        <is>
          <t>New York : Plenum Press, c1996.</t>
        </is>
      </c>
      <c r="O477" t="inlineStr">
        <is>
          <t>1996</t>
        </is>
      </c>
      <c r="Q477" t="inlineStr">
        <is>
          <t>eng</t>
        </is>
      </c>
      <c r="R477" t="inlineStr">
        <is>
          <t>nyu</t>
        </is>
      </c>
      <c r="T477" t="inlineStr">
        <is>
          <t xml:space="preserve">W  </t>
        </is>
      </c>
      <c r="U477" t="n">
        <v>28</v>
      </c>
      <c r="V477" t="n">
        <v>28</v>
      </c>
      <c r="W477" t="inlineStr">
        <is>
          <t>2006-03-27</t>
        </is>
      </c>
      <c r="X477" t="inlineStr">
        <is>
          <t>2006-03-27</t>
        </is>
      </c>
      <c r="Y477" t="inlineStr">
        <is>
          <t>1997-01-17</t>
        </is>
      </c>
      <c r="Z477" t="inlineStr">
        <is>
          <t>1997-01-17</t>
        </is>
      </c>
      <c r="AA477" t="n">
        <v>319</v>
      </c>
      <c r="AB477" t="n">
        <v>240</v>
      </c>
      <c r="AC477" t="n">
        <v>1136</v>
      </c>
      <c r="AD477" t="n">
        <v>1</v>
      </c>
      <c r="AE477" t="n">
        <v>30</v>
      </c>
      <c r="AF477" t="n">
        <v>14</v>
      </c>
      <c r="AG477" t="n">
        <v>36</v>
      </c>
      <c r="AH477" t="n">
        <v>3</v>
      </c>
      <c r="AI477" t="n">
        <v>10</v>
      </c>
      <c r="AJ477" t="n">
        <v>4</v>
      </c>
      <c r="AK477" t="n">
        <v>6</v>
      </c>
      <c r="AL477" t="n">
        <v>9</v>
      </c>
      <c r="AM477" t="n">
        <v>14</v>
      </c>
      <c r="AN477" t="n">
        <v>0</v>
      </c>
      <c r="AO477" t="n">
        <v>10</v>
      </c>
      <c r="AP477" t="n">
        <v>2</v>
      </c>
      <c r="AQ477" t="n">
        <v>3</v>
      </c>
      <c r="AR477" t="inlineStr">
        <is>
          <t>No</t>
        </is>
      </c>
      <c r="AS477" t="inlineStr">
        <is>
          <t>Yes</t>
        </is>
      </c>
      <c r="AT477">
        <f>HYPERLINK("http://catalog.hathitrust.org/Record/003076276","HathiTrust Record")</f>
        <v/>
      </c>
      <c r="AU477">
        <f>HYPERLINK("https://creighton-primo.hosted.exlibrisgroup.com/primo-explore/search?tab=default_tab&amp;search_scope=EVERYTHING&amp;vid=01CRU&amp;lang=en_US&amp;offset=0&amp;query=any,contains,991001552109702656","Catalog Record")</f>
        <v/>
      </c>
      <c r="AV477">
        <f>HYPERLINK("http://www.worldcat.org/oclc/34724048","WorldCat Record")</f>
        <v/>
      </c>
      <c r="AW477" t="inlineStr">
        <is>
          <t>756815:eng</t>
        </is>
      </c>
      <c r="AX477" t="inlineStr">
        <is>
          <t>34724048</t>
        </is>
      </c>
      <c r="AY477" t="inlineStr">
        <is>
          <t>991001552109702656</t>
        </is>
      </c>
      <c r="AZ477" t="inlineStr">
        <is>
          <t>991001552109702656</t>
        </is>
      </c>
      <c r="BA477" t="inlineStr">
        <is>
          <t>2258414570002656</t>
        </is>
      </c>
      <c r="BB477" t="inlineStr">
        <is>
          <t>BOOK</t>
        </is>
      </c>
      <c r="BD477" t="inlineStr">
        <is>
          <t>9780306452406</t>
        </is>
      </c>
      <c r="BE477" t="inlineStr">
        <is>
          <t>30001003474097</t>
        </is>
      </c>
      <c r="BF477" t="inlineStr">
        <is>
          <t>893816505</t>
        </is>
      </c>
    </row>
    <row r="478">
      <c r="A478" t="inlineStr">
        <is>
          <t>No</t>
        </is>
      </c>
      <c r="B478" t="inlineStr">
        <is>
          <t>CUHSL</t>
        </is>
      </c>
      <c r="C478" t="inlineStr">
        <is>
          <t>SHELVES</t>
        </is>
      </c>
      <c r="D478" t="inlineStr">
        <is>
          <t>W 50 M123e 1989</t>
        </is>
      </c>
      <c r="E478" t="inlineStr">
        <is>
          <t>0                      W  0050000M  123e        1989</t>
        </is>
      </c>
      <c r="F478" t="inlineStr">
        <is>
          <t>Ethics committees in hospitals / by Pat Milmoe McCarrick and Judith Adams.</t>
        </is>
      </c>
      <c r="H478" t="inlineStr">
        <is>
          <t>No</t>
        </is>
      </c>
      <c r="I478" t="inlineStr">
        <is>
          <t>1</t>
        </is>
      </c>
      <c r="J478" t="inlineStr">
        <is>
          <t>No</t>
        </is>
      </c>
      <c r="K478" t="inlineStr">
        <is>
          <t>No</t>
        </is>
      </c>
      <c r="L478" t="inlineStr">
        <is>
          <t>0</t>
        </is>
      </c>
      <c r="M478" t="inlineStr">
        <is>
          <t>McCarrick, Pat Milmoe.</t>
        </is>
      </c>
      <c r="N478" t="inlineStr">
        <is>
          <t>Washington, D.C. : National Reference Center for Bioethics Literature, Kennedy Institute of Ethics, c1989.</t>
        </is>
      </c>
      <c r="O478" t="inlineStr">
        <is>
          <t>1989</t>
        </is>
      </c>
      <c r="P478" t="inlineStr">
        <is>
          <t>Rev.</t>
        </is>
      </c>
      <c r="Q478" t="inlineStr">
        <is>
          <t>eng</t>
        </is>
      </c>
      <c r="R478" t="inlineStr">
        <is>
          <t>dcu</t>
        </is>
      </c>
      <c r="S478" t="inlineStr">
        <is>
          <t>Scope note ; #3.</t>
        </is>
      </c>
      <c r="T478" t="inlineStr">
        <is>
          <t xml:space="preserve">W  </t>
        </is>
      </c>
      <c r="U478" t="n">
        <v>10</v>
      </c>
      <c r="V478" t="n">
        <v>10</v>
      </c>
      <c r="W478" t="inlineStr">
        <is>
          <t>2001-11-26</t>
        </is>
      </c>
      <c r="X478" t="inlineStr">
        <is>
          <t>2001-11-26</t>
        </is>
      </c>
      <c r="Y478" t="inlineStr">
        <is>
          <t>1989-11-03</t>
        </is>
      </c>
      <c r="Z478" t="inlineStr">
        <is>
          <t>1989-11-03</t>
        </is>
      </c>
      <c r="AA478" t="n">
        <v>12</v>
      </c>
      <c r="AB478" t="n">
        <v>12</v>
      </c>
      <c r="AC478" t="n">
        <v>23</v>
      </c>
      <c r="AD478" t="n">
        <v>1</v>
      </c>
      <c r="AE478" t="n">
        <v>1</v>
      </c>
      <c r="AF478" t="n">
        <v>0</v>
      </c>
      <c r="AG478" t="n">
        <v>1</v>
      </c>
      <c r="AH478" t="n">
        <v>0</v>
      </c>
      <c r="AI478" t="n">
        <v>0</v>
      </c>
      <c r="AJ478" t="n">
        <v>0</v>
      </c>
      <c r="AK478" t="n">
        <v>0</v>
      </c>
      <c r="AL478" t="n">
        <v>0</v>
      </c>
      <c r="AM478" t="n">
        <v>1</v>
      </c>
      <c r="AN478" t="n">
        <v>0</v>
      </c>
      <c r="AO478" t="n">
        <v>0</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HYPERLINK("https://creighton-primo.hosted.exlibrisgroup.com/primo-explore/search?tab=default_tab&amp;search_scope=EVERYTHING&amp;vid=01CRU&amp;lang=en_US&amp;offset=0&amp;query=any,contains,991001295699702656","Catalog Record")</f>
        <v/>
      </c>
      <c r="AV478">
        <f>HYPERLINK("http://www.worldcat.org/oclc/17234863","WorldCat Record")</f>
        <v/>
      </c>
      <c r="AW478" t="inlineStr">
        <is>
          <t>15991731:eng</t>
        </is>
      </c>
      <c r="AX478" t="inlineStr">
        <is>
          <t>17234863</t>
        </is>
      </c>
      <c r="AY478" t="inlineStr">
        <is>
          <t>991001295699702656</t>
        </is>
      </c>
      <c r="AZ478" t="inlineStr">
        <is>
          <t>991001295699702656</t>
        </is>
      </c>
      <c r="BA478" t="inlineStr">
        <is>
          <t>2272118320002656</t>
        </is>
      </c>
      <c r="BB478" t="inlineStr">
        <is>
          <t>BOOK</t>
        </is>
      </c>
      <c r="BE478" t="inlineStr">
        <is>
          <t>30001001738352</t>
        </is>
      </c>
      <c r="BF478" t="inlineStr">
        <is>
          <t>893541233</t>
        </is>
      </c>
    </row>
    <row r="479">
      <c r="A479" t="inlineStr">
        <is>
          <t>No</t>
        </is>
      </c>
      <c r="B479" t="inlineStr">
        <is>
          <t>CUHSL</t>
        </is>
      </c>
      <c r="C479" t="inlineStr">
        <is>
          <t>SHELVES</t>
        </is>
      </c>
      <c r="D479" t="inlineStr">
        <is>
          <t>W 50 M123w 1986</t>
        </is>
      </c>
      <c r="E479" t="inlineStr">
        <is>
          <t>0                      W  0050000M  123w        1986</t>
        </is>
      </c>
      <c r="F479" t="inlineStr">
        <is>
          <t>Witholding or withdrawing nutrition or hydration / Pat Milmoe McCarrick.</t>
        </is>
      </c>
      <c r="H479" t="inlineStr">
        <is>
          <t>No</t>
        </is>
      </c>
      <c r="I479" t="inlineStr">
        <is>
          <t>1</t>
        </is>
      </c>
      <c r="J479" t="inlineStr">
        <is>
          <t>No</t>
        </is>
      </c>
      <c r="K479" t="inlineStr">
        <is>
          <t>No</t>
        </is>
      </c>
      <c r="L479" t="inlineStr">
        <is>
          <t>0</t>
        </is>
      </c>
      <c r="M479" t="inlineStr">
        <is>
          <t>McCarrick, Pat Milmoe.</t>
        </is>
      </c>
      <c r="N479" t="inlineStr">
        <is>
          <t>Washington, D.C. : Kennedy Institute of Ethics, National Reference Center for Bioethics Literatue, Georgetown Univ., 1986.</t>
        </is>
      </c>
      <c r="O479" t="inlineStr">
        <is>
          <t>1986</t>
        </is>
      </c>
      <c r="Q479" t="inlineStr">
        <is>
          <t>eng</t>
        </is>
      </c>
      <c r="R479" t="inlineStr">
        <is>
          <t>dcu</t>
        </is>
      </c>
      <c r="S479" t="inlineStr">
        <is>
          <t>Scope note ; 7</t>
        </is>
      </c>
      <c r="T479" t="inlineStr">
        <is>
          <t xml:space="preserve">W  </t>
        </is>
      </c>
      <c r="U479" t="n">
        <v>7</v>
      </c>
      <c r="V479" t="n">
        <v>7</v>
      </c>
      <c r="W479" t="inlineStr">
        <is>
          <t>2001-09-17</t>
        </is>
      </c>
      <c r="X479" t="inlineStr">
        <is>
          <t>2001-09-17</t>
        </is>
      </c>
      <c r="Y479" t="inlineStr">
        <is>
          <t>1987-10-05</t>
        </is>
      </c>
      <c r="Z479" t="inlineStr">
        <is>
          <t>1987-10-05</t>
        </is>
      </c>
      <c r="AA479" t="n">
        <v>9</v>
      </c>
      <c r="AB479" t="n">
        <v>9</v>
      </c>
      <c r="AC479" t="n">
        <v>13</v>
      </c>
      <c r="AD479" t="n">
        <v>1</v>
      </c>
      <c r="AE479" t="n">
        <v>1</v>
      </c>
      <c r="AF479" t="n">
        <v>3</v>
      </c>
      <c r="AG479" t="n">
        <v>3</v>
      </c>
      <c r="AH479" t="n">
        <v>0</v>
      </c>
      <c r="AI479" t="n">
        <v>0</v>
      </c>
      <c r="AJ479" t="n">
        <v>0</v>
      </c>
      <c r="AK479" t="n">
        <v>0</v>
      </c>
      <c r="AL479" t="n">
        <v>0</v>
      </c>
      <c r="AM479" t="n">
        <v>0</v>
      </c>
      <c r="AN479" t="n">
        <v>0</v>
      </c>
      <c r="AO479" t="n">
        <v>0</v>
      </c>
      <c r="AP479" t="n">
        <v>3</v>
      </c>
      <c r="AQ479" t="n">
        <v>3</v>
      </c>
      <c r="AR479" t="inlineStr">
        <is>
          <t>No</t>
        </is>
      </c>
      <c r="AS479" t="inlineStr">
        <is>
          <t>No</t>
        </is>
      </c>
      <c r="AU479">
        <f>HYPERLINK("https://creighton-primo.hosted.exlibrisgroup.com/primo-explore/search?tab=default_tab&amp;search_scope=EVERYTHING&amp;vid=01CRU&amp;lang=en_US&amp;offset=0&amp;query=any,contains,991001266819702656","Catalog Record")</f>
        <v/>
      </c>
      <c r="AV479">
        <f>HYPERLINK("http://www.worldcat.org/oclc/15466443","WorldCat Record")</f>
        <v/>
      </c>
      <c r="AW479" t="inlineStr">
        <is>
          <t>5090592297:eng</t>
        </is>
      </c>
      <c r="AX479" t="inlineStr">
        <is>
          <t>15466443</t>
        </is>
      </c>
      <c r="AY479" t="inlineStr">
        <is>
          <t>991001266819702656</t>
        </is>
      </c>
      <c r="AZ479" t="inlineStr">
        <is>
          <t>991001266819702656</t>
        </is>
      </c>
      <c r="BA479" t="inlineStr">
        <is>
          <t>2267265090002656</t>
        </is>
      </c>
      <c r="BB479" t="inlineStr">
        <is>
          <t>BOOK</t>
        </is>
      </c>
      <c r="BE479" t="inlineStr">
        <is>
          <t>30001000353591</t>
        </is>
      </c>
      <c r="BF479" t="inlineStr">
        <is>
          <t>893731800</t>
        </is>
      </c>
    </row>
    <row r="480">
      <c r="A480" t="inlineStr">
        <is>
          <t>No</t>
        </is>
      </c>
      <c r="B480" t="inlineStr">
        <is>
          <t>CUHSL</t>
        </is>
      </c>
      <c r="C480" t="inlineStr">
        <is>
          <t>SHELVES</t>
        </is>
      </c>
      <c r="D480" t="inlineStr">
        <is>
          <t>W 50 M158c 2003</t>
        </is>
      </c>
      <c r="E480" t="inlineStr">
        <is>
          <t>0                      W  0050000M  158c        2003</t>
        </is>
      </c>
      <c r="F480" t="inlineStr">
        <is>
          <t>Introduction to Jewish and Catholic bioethics : a comparative analysis / Aaron L. Mackler.</t>
        </is>
      </c>
      <c r="H480" t="inlineStr">
        <is>
          <t>No</t>
        </is>
      </c>
      <c r="I480" t="inlineStr">
        <is>
          <t>1</t>
        </is>
      </c>
      <c r="J480" t="inlineStr">
        <is>
          <t>No</t>
        </is>
      </c>
      <c r="K480" t="inlineStr">
        <is>
          <t>No</t>
        </is>
      </c>
      <c r="L480" t="inlineStr">
        <is>
          <t>0</t>
        </is>
      </c>
      <c r="M480" t="inlineStr">
        <is>
          <t>Mackler, Aaron L.</t>
        </is>
      </c>
      <c r="N480" t="inlineStr">
        <is>
          <t>Washington, D.C. : Georgetown University Press, 2003.</t>
        </is>
      </c>
      <c r="O480" t="inlineStr">
        <is>
          <t>2003</t>
        </is>
      </c>
      <c r="Q480" t="inlineStr">
        <is>
          <t>eng</t>
        </is>
      </c>
      <c r="R480" t="inlineStr">
        <is>
          <t>dcu</t>
        </is>
      </c>
      <c r="S480" t="inlineStr">
        <is>
          <t>Moral traditions series</t>
        </is>
      </c>
      <c r="T480" t="inlineStr">
        <is>
          <t xml:space="preserve">W  </t>
        </is>
      </c>
      <c r="U480" t="n">
        <v>4</v>
      </c>
      <c r="V480" t="n">
        <v>4</v>
      </c>
      <c r="W480" t="inlineStr">
        <is>
          <t>2006-12-09</t>
        </is>
      </c>
      <c r="X480" t="inlineStr">
        <is>
          <t>2006-12-09</t>
        </is>
      </c>
      <c r="Y480" t="inlineStr">
        <is>
          <t>2005-01-27</t>
        </is>
      </c>
      <c r="Z480" t="inlineStr">
        <is>
          <t>2005-01-27</t>
        </is>
      </c>
      <c r="AA480" t="n">
        <v>491</v>
      </c>
      <c r="AB480" t="n">
        <v>429</v>
      </c>
      <c r="AC480" t="n">
        <v>430</v>
      </c>
      <c r="AD480" t="n">
        <v>1</v>
      </c>
      <c r="AE480" t="n">
        <v>1</v>
      </c>
      <c r="AF480" t="n">
        <v>35</v>
      </c>
      <c r="AG480" t="n">
        <v>35</v>
      </c>
      <c r="AH480" t="n">
        <v>12</v>
      </c>
      <c r="AI480" t="n">
        <v>12</v>
      </c>
      <c r="AJ480" t="n">
        <v>8</v>
      </c>
      <c r="AK480" t="n">
        <v>8</v>
      </c>
      <c r="AL480" t="n">
        <v>18</v>
      </c>
      <c r="AM480" t="n">
        <v>18</v>
      </c>
      <c r="AN480" t="n">
        <v>0</v>
      </c>
      <c r="AO480" t="n">
        <v>0</v>
      </c>
      <c r="AP480" t="n">
        <v>6</v>
      </c>
      <c r="AQ480" t="n">
        <v>6</v>
      </c>
      <c r="AR480" t="inlineStr">
        <is>
          <t>No</t>
        </is>
      </c>
      <c r="AS480" t="inlineStr">
        <is>
          <t>No</t>
        </is>
      </c>
      <c r="AU480">
        <f>HYPERLINK("https://creighton-primo.hosted.exlibrisgroup.com/primo-explore/search?tab=default_tab&amp;search_scope=EVERYTHING&amp;vid=01CRU&amp;lang=en_US&amp;offset=0&amp;query=any,contains,991000424829702656","Catalog Record")</f>
        <v/>
      </c>
      <c r="AV480">
        <f>HYPERLINK("http://www.worldcat.org/oclc/51977846","WorldCat Record")</f>
        <v/>
      </c>
      <c r="AW480" t="inlineStr">
        <is>
          <t>838348203:eng</t>
        </is>
      </c>
      <c r="AX480" t="inlineStr">
        <is>
          <t>51977846</t>
        </is>
      </c>
      <c r="AY480" t="inlineStr">
        <is>
          <t>991000424829702656</t>
        </is>
      </c>
      <c r="AZ480" t="inlineStr">
        <is>
          <t>991000424829702656</t>
        </is>
      </c>
      <c r="BA480" t="inlineStr">
        <is>
          <t>2262376200002656</t>
        </is>
      </c>
      <c r="BB480" t="inlineStr">
        <is>
          <t>BOOK</t>
        </is>
      </c>
      <c r="BD480" t="inlineStr">
        <is>
          <t>9780878401468</t>
        </is>
      </c>
      <c r="BE480" t="inlineStr">
        <is>
          <t>30001004926988</t>
        </is>
      </c>
      <c r="BF480" t="inlineStr">
        <is>
          <t>893644371</t>
        </is>
      </c>
    </row>
    <row r="481">
      <c r="A481" t="inlineStr">
        <is>
          <t>No</t>
        </is>
      </c>
      <c r="B481" t="inlineStr">
        <is>
          <t>CUHSL</t>
        </is>
      </c>
      <c r="C481" t="inlineStr">
        <is>
          <t>SHELVES</t>
        </is>
      </c>
      <c r="D481" t="inlineStr">
        <is>
          <t>W 50 M158h 1988</t>
        </is>
      </c>
      <c r="E481" t="inlineStr">
        <is>
          <t>0                      W  0050000M  158h        1988</t>
        </is>
      </c>
      <c r="F481" t="inlineStr">
        <is>
          <t>Hospital ethics committees : manual for a training program / Ruth Macklin and Robin B. Kupfer.</t>
        </is>
      </c>
      <c r="H481" t="inlineStr">
        <is>
          <t>No</t>
        </is>
      </c>
      <c r="I481" t="inlineStr">
        <is>
          <t>1</t>
        </is>
      </c>
      <c r="J481" t="inlineStr">
        <is>
          <t>No</t>
        </is>
      </c>
      <c r="K481" t="inlineStr">
        <is>
          <t>No</t>
        </is>
      </c>
      <c r="L481" t="inlineStr">
        <is>
          <t>0</t>
        </is>
      </c>
      <c r="M481" t="inlineStr">
        <is>
          <t>Macklin, Ruth.</t>
        </is>
      </c>
      <c r="N481" t="inlineStr">
        <is>
          <t>[New York] : Albert Einstein College of Medicine, c1988.</t>
        </is>
      </c>
      <c r="O481" t="inlineStr">
        <is>
          <t>1988</t>
        </is>
      </c>
      <c r="Q481" t="inlineStr">
        <is>
          <t>eng</t>
        </is>
      </c>
      <c r="R481" t="inlineStr">
        <is>
          <t>nyu</t>
        </is>
      </c>
      <c r="T481" t="inlineStr">
        <is>
          <t xml:space="preserve">W  </t>
        </is>
      </c>
      <c r="U481" t="n">
        <v>8</v>
      </c>
      <c r="V481" t="n">
        <v>8</v>
      </c>
      <c r="W481" t="inlineStr">
        <is>
          <t>2002-03-04</t>
        </is>
      </c>
      <c r="X481" t="inlineStr">
        <is>
          <t>2002-03-04</t>
        </is>
      </c>
      <c r="Y481" t="inlineStr">
        <is>
          <t>1990-01-13</t>
        </is>
      </c>
      <c r="Z481" t="inlineStr">
        <is>
          <t>1990-01-13</t>
        </is>
      </c>
      <c r="AA481" t="n">
        <v>11</v>
      </c>
      <c r="AB481" t="n">
        <v>8</v>
      </c>
      <c r="AC481" t="n">
        <v>8</v>
      </c>
      <c r="AD481" t="n">
        <v>1</v>
      </c>
      <c r="AE481" t="n">
        <v>1</v>
      </c>
      <c r="AF481" t="n">
        <v>0</v>
      </c>
      <c r="AG481" t="n">
        <v>0</v>
      </c>
      <c r="AH481" t="n">
        <v>0</v>
      </c>
      <c r="AI481" t="n">
        <v>0</v>
      </c>
      <c r="AJ481" t="n">
        <v>0</v>
      </c>
      <c r="AK481" t="n">
        <v>0</v>
      </c>
      <c r="AL481" t="n">
        <v>0</v>
      </c>
      <c r="AM481" t="n">
        <v>0</v>
      </c>
      <c r="AN481" t="n">
        <v>0</v>
      </c>
      <c r="AO481" t="n">
        <v>0</v>
      </c>
      <c r="AP481" t="n">
        <v>0</v>
      </c>
      <c r="AQ481" t="n">
        <v>0</v>
      </c>
      <c r="AR481" t="inlineStr">
        <is>
          <t>No</t>
        </is>
      </c>
      <c r="AS481" t="inlineStr">
        <is>
          <t>No</t>
        </is>
      </c>
      <c r="AU481">
        <f>HYPERLINK("https://creighton-primo.hosted.exlibrisgroup.com/primo-explore/search?tab=default_tab&amp;search_scope=EVERYTHING&amp;vid=01CRU&amp;lang=en_US&amp;offset=0&amp;query=any,contains,991001362319702656","Catalog Record")</f>
        <v/>
      </c>
      <c r="AV481">
        <f>HYPERLINK("http://www.worldcat.org/oclc/20761841","WorldCat Record")</f>
        <v/>
      </c>
      <c r="AW481" t="inlineStr">
        <is>
          <t>22185999:eng</t>
        </is>
      </c>
      <c r="AX481" t="inlineStr">
        <is>
          <t>20761841</t>
        </is>
      </c>
      <c r="AY481" t="inlineStr">
        <is>
          <t>991001362319702656</t>
        </is>
      </c>
      <c r="AZ481" t="inlineStr">
        <is>
          <t>991001362319702656</t>
        </is>
      </c>
      <c r="BA481" t="inlineStr">
        <is>
          <t>2259708210002656</t>
        </is>
      </c>
      <c r="BB481" t="inlineStr">
        <is>
          <t>BOOK</t>
        </is>
      </c>
      <c r="BE481" t="inlineStr">
        <is>
          <t>30001001796970</t>
        </is>
      </c>
      <c r="BF481" t="inlineStr">
        <is>
          <t>893546626</t>
        </is>
      </c>
    </row>
    <row r="482">
      <c r="A482" t="inlineStr">
        <is>
          <t>No</t>
        </is>
      </c>
      <c r="B482" t="inlineStr">
        <is>
          <t>CUHSL</t>
        </is>
      </c>
      <c r="C482" t="inlineStr">
        <is>
          <t>SHELVES</t>
        </is>
      </c>
      <c r="D482" t="inlineStr">
        <is>
          <t>W50 M158mb 1999</t>
        </is>
      </c>
      <c r="E482" t="inlineStr">
        <is>
          <t>0                      W  0050000M  158mb       1999</t>
        </is>
      </c>
      <c r="F482" t="inlineStr">
        <is>
          <t>Against relativism : cultural diversity and the search for ethical universals in medicine / Ruth Macklin.</t>
        </is>
      </c>
      <c r="H482" t="inlineStr">
        <is>
          <t>No</t>
        </is>
      </c>
      <c r="I482" t="inlineStr">
        <is>
          <t>1</t>
        </is>
      </c>
      <c r="J482" t="inlineStr">
        <is>
          <t>No</t>
        </is>
      </c>
      <c r="K482" t="inlineStr">
        <is>
          <t>No</t>
        </is>
      </c>
      <c r="L482" t="inlineStr">
        <is>
          <t>0</t>
        </is>
      </c>
      <c r="M482" t="inlineStr">
        <is>
          <t>Macklin, Ruth, 1938-</t>
        </is>
      </c>
      <c r="N482" t="inlineStr">
        <is>
          <t>New York : Oxford University Press, 1999.</t>
        </is>
      </c>
      <c r="O482" t="inlineStr">
        <is>
          <t>1999</t>
        </is>
      </c>
      <c r="Q482" t="inlineStr">
        <is>
          <t>eng</t>
        </is>
      </c>
      <c r="R482" t="inlineStr">
        <is>
          <t>nyu</t>
        </is>
      </c>
      <c r="T482" t="inlineStr">
        <is>
          <t xml:space="preserve">W  </t>
        </is>
      </c>
      <c r="U482" t="n">
        <v>4</v>
      </c>
      <c r="V482" t="n">
        <v>4</v>
      </c>
      <c r="W482" t="inlineStr">
        <is>
          <t>2006-04-27</t>
        </is>
      </c>
      <c r="X482" t="inlineStr">
        <is>
          <t>2006-04-27</t>
        </is>
      </c>
      <c r="Y482" t="inlineStr">
        <is>
          <t>2004-06-04</t>
        </is>
      </c>
      <c r="Z482" t="inlineStr">
        <is>
          <t>2004-06-04</t>
        </is>
      </c>
      <c r="AA482" t="n">
        <v>408</v>
      </c>
      <c r="AB482" t="n">
        <v>308</v>
      </c>
      <c r="AC482" t="n">
        <v>311</v>
      </c>
      <c r="AD482" t="n">
        <v>3</v>
      </c>
      <c r="AE482" t="n">
        <v>3</v>
      </c>
      <c r="AF482" t="n">
        <v>23</v>
      </c>
      <c r="AG482" t="n">
        <v>23</v>
      </c>
      <c r="AH482" t="n">
        <v>5</v>
      </c>
      <c r="AI482" t="n">
        <v>5</v>
      </c>
      <c r="AJ482" t="n">
        <v>6</v>
      </c>
      <c r="AK482" t="n">
        <v>6</v>
      </c>
      <c r="AL482" t="n">
        <v>12</v>
      </c>
      <c r="AM482" t="n">
        <v>12</v>
      </c>
      <c r="AN482" t="n">
        <v>2</v>
      </c>
      <c r="AO482" t="n">
        <v>2</v>
      </c>
      <c r="AP482" t="n">
        <v>4</v>
      </c>
      <c r="AQ482" t="n">
        <v>4</v>
      </c>
      <c r="AR482" t="inlineStr">
        <is>
          <t>No</t>
        </is>
      </c>
      <c r="AS482" t="inlineStr">
        <is>
          <t>Yes</t>
        </is>
      </c>
      <c r="AT482">
        <f>HYPERLINK("http://catalog.hathitrust.org/Record/004024876","HathiTrust Record")</f>
        <v/>
      </c>
      <c r="AU482">
        <f>HYPERLINK("https://creighton-primo.hosted.exlibrisgroup.com/primo-explore/search?tab=default_tab&amp;search_scope=EVERYTHING&amp;vid=01CRU&amp;lang=en_US&amp;offset=0&amp;query=any,contains,991000371979702656","Catalog Record")</f>
        <v/>
      </c>
      <c r="AV482">
        <f>HYPERLINK("http://www.worldcat.org/oclc/39810974","WorldCat Record")</f>
        <v/>
      </c>
      <c r="AW482" t="inlineStr">
        <is>
          <t>26982584:eng</t>
        </is>
      </c>
      <c r="AX482" t="inlineStr">
        <is>
          <t>39810974</t>
        </is>
      </c>
      <c r="AY482" t="inlineStr">
        <is>
          <t>991000371979702656</t>
        </is>
      </c>
      <c r="AZ482" t="inlineStr">
        <is>
          <t>991000371979702656</t>
        </is>
      </c>
      <c r="BA482" t="inlineStr">
        <is>
          <t>2265076570002656</t>
        </is>
      </c>
      <c r="BB482" t="inlineStr">
        <is>
          <t>BOOK</t>
        </is>
      </c>
      <c r="BD482" t="inlineStr">
        <is>
          <t>9780195116328</t>
        </is>
      </c>
      <c r="BE482" t="inlineStr">
        <is>
          <t>30001004509750</t>
        </is>
      </c>
      <c r="BF482" t="inlineStr">
        <is>
          <t>893275007</t>
        </is>
      </c>
    </row>
    <row r="483">
      <c r="A483" t="inlineStr">
        <is>
          <t>No</t>
        </is>
      </c>
      <c r="B483" t="inlineStr">
        <is>
          <t>CUHSL</t>
        </is>
      </c>
      <c r="C483" t="inlineStr">
        <is>
          <t>SHELVES</t>
        </is>
      </c>
      <c r="D483" t="inlineStr">
        <is>
          <t>W 50 M196w 1985</t>
        </is>
      </c>
      <c r="E483" t="inlineStr">
        <is>
          <t>0                      W  0050000M  196w        1985</t>
        </is>
      </c>
      <c r="F483" t="inlineStr">
        <is>
          <t>Withholding treatment from defective newborn children / by Joseph Eliot Magnet and Eike-Henner W. Kluge.</t>
        </is>
      </c>
      <c r="H483" t="inlineStr">
        <is>
          <t>No</t>
        </is>
      </c>
      <c r="I483" t="inlineStr">
        <is>
          <t>1</t>
        </is>
      </c>
      <c r="J483" t="inlineStr">
        <is>
          <t>No</t>
        </is>
      </c>
      <c r="K483" t="inlineStr">
        <is>
          <t>No</t>
        </is>
      </c>
      <c r="L483" t="inlineStr">
        <is>
          <t>0</t>
        </is>
      </c>
      <c r="M483" t="inlineStr">
        <is>
          <t>Magnet, Joseph Eliot.</t>
        </is>
      </c>
      <c r="N483" t="inlineStr">
        <is>
          <t>Cowansville, (Qué.) : Brown Legal Publications, c1985.</t>
        </is>
      </c>
      <c r="O483" t="inlineStr">
        <is>
          <t>1985</t>
        </is>
      </c>
      <c r="Q483" t="inlineStr">
        <is>
          <t>eng</t>
        </is>
      </c>
      <c r="R483" t="inlineStr">
        <is>
          <t>quc</t>
        </is>
      </c>
      <c r="T483" t="inlineStr">
        <is>
          <t xml:space="preserve">W  </t>
        </is>
      </c>
      <c r="U483" t="n">
        <v>7</v>
      </c>
      <c r="V483" t="n">
        <v>7</v>
      </c>
      <c r="W483" t="inlineStr">
        <is>
          <t>1989-11-20</t>
        </is>
      </c>
      <c r="X483" t="inlineStr">
        <is>
          <t>1989-11-20</t>
        </is>
      </c>
      <c r="Y483" t="inlineStr">
        <is>
          <t>1989-07-12</t>
        </is>
      </c>
      <c r="Z483" t="inlineStr">
        <is>
          <t>1989-07-12</t>
        </is>
      </c>
      <c r="AA483" t="n">
        <v>261</v>
      </c>
      <c r="AB483" t="n">
        <v>173</v>
      </c>
      <c r="AC483" t="n">
        <v>175</v>
      </c>
      <c r="AD483" t="n">
        <v>1</v>
      </c>
      <c r="AE483" t="n">
        <v>1</v>
      </c>
      <c r="AF483" t="n">
        <v>12</v>
      </c>
      <c r="AG483" t="n">
        <v>12</v>
      </c>
      <c r="AH483" t="n">
        <v>0</v>
      </c>
      <c r="AI483" t="n">
        <v>0</v>
      </c>
      <c r="AJ483" t="n">
        <v>0</v>
      </c>
      <c r="AK483" t="n">
        <v>0</v>
      </c>
      <c r="AL483" t="n">
        <v>5</v>
      </c>
      <c r="AM483" t="n">
        <v>5</v>
      </c>
      <c r="AN483" t="n">
        <v>0</v>
      </c>
      <c r="AO483" t="n">
        <v>0</v>
      </c>
      <c r="AP483" t="n">
        <v>7</v>
      </c>
      <c r="AQ483" t="n">
        <v>7</v>
      </c>
      <c r="AR483" t="inlineStr">
        <is>
          <t>No</t>
        </is>
      </c>
      <c r="AS483" t="inlineStr">
        <is>
          <t>Yes</t>
        </is>
      </c>
      <c r="AT483">
        <f>HYPERLINK("http://catalog.hathitrust.org/Record/000629014","HathiTrust Record")</f>
        <v/>
      </c>
      <c r="AU483">
        <f>HYPERLINK("https://creighton-primo.hosted.exlibrisgroup.com/primo-explore/search?tab=default_tab&amp;search_scope=EVERYTHING&amp;vid=01CRU&amp;lang=en_US&amp;offset=0&amp;query=any,contains,991000689359702656","Catalog Record")</f>
        <v/>
      </c>
      <c r="AV483">
        <f>HYPERLINK("http://www.worldcat.org/oclc/13067687","WorldCat Record")</f>
        <v/>
      </c>
      <c r="AW483" t="inlineStr">
        <is>
          <t>5552003:eng</t>
        </is>
      </c>
      <c r="AX483" t="inlineStr">
        <is>
          <t>13067687</t>
        </is>
      </c>
      <c r="AY483" t="inlineStr">
        <is>
          <t>991000689359702656</t>
        </is>
      </c>
      <c r="AZ483" t="inlineStr">
        <is>
          <t>991000689359702656</t>
        </is>
      </c>
      <c r="BA483" t="inlineStr">
        <is>
          <t>2259003250002656</t>
        </is>
      </c>
      <c r="BB483" t="inlineStr">
        <is>
          <t>BOOK</t>
        </is>
      </c>
      <c r="BD483" t="inlineStr">
        <is>
          <t>9782890735514</t>
        </is>
      </c>
      <c r="BE483" t="inlineStr">
        <is>
          <t>30001000695959</t>
        </is>
      </c>
      <c r="BF483" t="inlineStr">
        <is>
          <t>893647994</t>
        </is>
      </c>
    </row>
    <row r="484">
      <c r="A484" t="inlineStr">
        <is>
          <t>No</t>
        </is>
      </c>
      <c r="B484" t="inlineStr">
        <is>
          <t>CUHSL</t>
        </is>
      </c>
      <c r="C484" t="inlineStr">
        <is>
          <t>SHELVES</t>
        </is>
      </c>
      <c r="D484" t="inlineStr">
        <is>
          <t>W 50 M235 1986</t>
        </is>
      </c>
      <c r="E484" t="inlineStr">
        <is>
          <t>0                      W  0050000M  235         1986</t>
        </is>
      </c>
      <c r="F484" t="inlineStr">
        <is>
          <t>Making choices : ethics issues for health care professionals / edited by Emily Friedman.</t>
        </is>
      </c>
      <c r="H484" t="inlineStr">
        <is>
          <t>No</t>
        </is>
      </c>
      <c r="I484" t="inlineStr">
        <is>
          <t>1</t>
        </is>
      </c>
      <c r="J484" t="inlineStr">
        <is>
          <t>No</t>
        </is>
      </c>
      <c r="K484" t="inlineStr">
        <is>
          <t>No</t>
        </is>
      </c>
      <c r="L484" t="inlineStr">
        <is>
          <t>0</t>
        </is>
      </c>
      <c r="N484" t="inlineStr">
        <is>
          <t>[Chicago, Ill.] : American Hospital Pub., c1986.</t>
        </is>
      </c>
      <c r="O484" t="inlineStr">
        <is>
          <t>1986</t>
        </is>
      </c>
      <c r="Q484" t="inlineStr">
        <is>
          <t>eng</t>
        </is>
      </c>
      <c r="R484" t="inlineStr">
        <is>
          <t>ilu</t>
        </is>
      </c>
      <c r="T484" t="inlineStr">
        <is>
          <t xml:space="preserve">W  </t>
        </is>
      </c>
      <c r="U484" t="n">
        <v>19</v>
      </c>
      <c r="V484" t="n">
        <v>19</v>
      </c>
      <c r="W484" t="inlineStr">
        <is>
          <t>1997-12-03</t>
        </is>
      </c>
      <c r="X484" t="inlineStr">
        <is>
          <t>1997-12-03</t>
        </is>
      </c>
      <c r="Y484" t="inlineStr">
        <is>
          <t>1987-10-02</t>
        </is>
      </c>
      <c r="Z484" t="inlineStr">
        <is>
          <t>1987-10-02</t>
        </is>
      </c>
      <c r="AA484" t="n">
        <v>553</v>
      </c>
      <c r="AB484" t="n">
        <v>492</v>
      </c>
      <c r="AC484" t="n">
        <v>498</v>
      </c>
      <c r="AD484" t="n">
        <v>5</v>
      </c>
      <c r="AE484" t="n">
        <v>5</v>
      </c>
      <c r="AF484" t="n">
        <v>26</v>
      </c>
      <c r="AG484" t="n">
        <v>26</v>
      </c>
      <c r="AH484" t="n">
        <v>4</v>
      </c>
      <c r="AI484" t="n">
        <v>4</v>
      </c>
      <c r="AJ484" t="n">
        <v>5</v>
      </c>
      <c r="AK484" t="n">
        <v>5</v>
      </c>
      <c r="AL484" t="n">
        <v>13</v>
      </c>
      <c r="AM484" t="n">
        <v>13</v>
      </c>
      <c r="AN484" t="n">
        <v>3</v>
      </c>
      <c r="AO484" t="n">
        <v>3</v>
      </c>
      <c r="AP484" t="n">
        <v>7</v>
      </c>
      <c r="AQ484" t="n">
        <v>7</v>
      </c>
      <c r="AR484" t="inlineStr">
        <is>
          <t>No</t>
        </is>
      </c>
      <c r="AS484" t="inlineStr">
        <is>
          <t>Yes</t>
        </is>
      </c>
      <c r="AT484">
        <f>HYPERLINK("http://catalog.hathitrust.org/Record/000587880","HathiTrust Record")</f>
        <v/>
      </c>
      <c r="AU484">
        <f>HYPERLINK("https://creighton-primo.hosted.exlibrisgroup.com/primo-explore/search?tab=default_tab&amp;search_scope=EVERYTHING&amp;vid=01CRU&amp;lang=en_US&amp;offset=0&amp;query=any,contains,991001256349702656","Catalog Record")</f>
        <v/>
      </c>
      <c r="AV484">
        <f>HYPERLINK("http://www.worldcat.org/oclc/13003435","WorldCat Record")</f>
        <v/>
      </c>
      <c r="AW484" t="inlineStr">
        <is>
          <t>5396540:eng</t>
        </is>
      </c>
      <c r="AX484" t="inlineStr">
        <is>
          <t>13003435</t>
        </is>
      </c>
      <c r="AY484" t="inlineStr">
        <is>
          <t>991001256349702656</t>
        </is>
      </c>
      <c r="AZ484" t="inlineStr">
        <is>
          <t>991001256349702656</t>
        </is>
      </c>
      <c r="BA484" t="inlineStr">
        <is>
          <t>2262817610002656</t>
        </is>
      </c>
      <c r="BB484" t="inlineStr">
        <is>
          <t>BOOK</t>
        </is>
      </c>
      <c r="BD484" t="inlineStr">
        <is>
          <t>9780939450770</t>
        </is>
      </c>
      <c r="BE484" t="inlineStr">
        <is>
          <t>30001000344939</t>
        </is>
      </c>
      <c r="BF484" t="inlineStr">
        <is>
          <t>893826597</t>
        </is>
      </c>
    </row>
    <row r="485">
      <c r="A485" t="inlineStr">
        <is>
          <t>No</t>
        </is>
      </c>
      <c r="B485" t="inlineStr">
        <is>
          <t>CUHSL</t>
        </is>
      </c>
      <c r="C485" t="inlineStr">
        <is>
          <t>SHELVES</t>
        </is>
      </c>
      <c r="D485" t="inlineStr">
        <is>
          <t>W 50 M435 1994</t>
        </is>
      </c>
      <c r="E485" t="inlineStr">
        <is>
          <t>0                      W  0050000M  435         1994</t>
        </is>
      </c>
      <c r="F485" t="inlineStr">
        <is>
          <t>A Matter of principles? : ferment in U.S. bioethics / edited by Edwin R. DuBose, Ronald P. Hamel, Laurence J. O'Connell.</t>
        </is>
      </c>
      <c r="H485" t="inlineStr">
        <is>
          <t>No</t>
        </is>
      </c>
      <c r="I485" t="inlineStr">
        <is>
          <t>1</t>
        </is>
      </c>
      <c r="J485" t="inlineStr">
        <is>
          <t>No</t>
        </is>
      </c>
      <c r="K485" t="inlineStr">
        <is>
          <t>No</t>
        </is>
      </c>
      <c r="L485" t="inlineStr">
        <is>
          <t>0</t>
        </is>
      </c>
      <c r="N485" t="inlineStr">
        <is>
          <t>Valley Forge, Pa. : Trinity Press International, c1994.</t>
        </is>
      </c>
      <c r="O485" t="inlineStr">
        <is>
          <t>1994</t>
        </is>
      </c>
      <c r="Q485" t="inlineStr">
        <is>
          <t>eng</t>
        </is>
      </c>
      <c r="R485" t="inlineStr">
        <is>
          <t>pau</t>
        </is>
      </c>
      <c r="T485" t="inlineStr">
        <is>
          <t xml:space="preserve">W  </t>
        </is>
      </c>
      <c r="U485" t="n">
        <v>15</v>
      </c>
      <c r="V485" t="n">
        <v>15</v>
      </c>
      <c r="W485" t="inlineStr">
        <is>
          <t>2006-09-07</t>
        </is>
      </c>
      <c r="X485" t="inlineStr">
        <is>
          <t>2006-09-07</t>
        </is>
      </c>
      <c r="Y485" t="inlineStr">
        <is>
          <t>1994-07-11</t>
        </is>
      </c>
      <c r="Z485" t="inlineStr">
        <is>
          <t>1994-07-11</t>
        </is>
      </c>
      <c r="AA485" t="n">
        <v>351</v>
      </c>
      <c r="AB485" t="n">
        <v>300</v>
      </c>
      <c r="AC485" t="n">
        <v>302</v>
      </c>
      <c r="AD485" t="n">
        <v>2</v>
      </c>
      <c r="AE485" t="n">
        <v>2</v>
      </c>
      <c r="AF485" t="n">
        <v>27</v>
      </c>
      <c r="AG485" t="n">
        <v>27</v>
      </c>
      <c r="AH485" t="n">
        <v>7</v>
      </c>
      <c r="AI485" t="n">
        <v>7</v>
      </c>
      <c r="AJ485" t="n">
        <v>9</v>
      </c>
      <c r="AK485" t="n">
        <v>9</v>
      </c>
      <c r="AL485" t="n">
        <v>18</v>
      </c>
      <c r="AM485" t="n">
        <v>18</v>
      </c>
      <c r="AN485" t="n">
        <v>1</v>
      </c>
      <c r="AO485" t="n">
        <v>1</v>
      </c>
      <c r="AP485" t="n">
        <v>1</v>
      </c>
      <c r="AQ485" t="n">
        <v>1</v>
      </c>
      <c r="AR485" t="inlineStr">
        <is>
          <t>No</t>
        </is>
      </c>
      <c r="AS485" t="inlineStr">
        <is>
          <t>Yes</t>
        </is>
      </c>
      <c r="AT485">
        <f>HYPERLINK("http://catalog.hathitrust.org/Record/101963460","HathiTrust Record")</f>
        <v/>
      </c>
      <c r="AU485">
        <f>HYPERLINK("https://creighton-primo.hosted.exlibrisgroup.com/primo-explore/search?tab=default_tab&amp;search_scope=EVERYTHING&amp;vid=01CRU&amp;lang=en_US&amp;offset=0&amp;query=any,contains,991000671509702656","Catalog Record")</f>
        <v/>
      </c>
      <c r="AV485">
        <f>HYPERLINK("http://www.worldcat.org/oclc/29702329","WorldCat Record")</f>
        <v/>
      </c>
      <c r="AW485" t="inlineStr">
        <is>
          <t>3901627520:eng</t>
        </is>
      </c>
      <c r="AX485" t="inlineStr">
        <is>
          <t>29702329</t>
        </is>
      </c>
      <c r="AY485" t="inlineStr">
        <is>
          <t>991000671509702656</t>
        </is>
      </c>
      <c r="AZ485" t="inlineStr">
        <is>
          <t>991000671509702656</t>
        </is>
      </c>
      <c r="BA485" t="inlineStr">
        <is>
          <t>2261350120002656</t>
        </is>
      </c>
      <c r="BB485" t="inlineStr">
        <is>
          <t>BOOK</t>
        </is>
      </c>
      <c r="BD485" t="inlineStr">
        <is>
          <t>9781563380815</t>
        </is>
      </c>
      <c r="BE485" t="inlineStr">
        <is>
          <t>30001002696062</t>
        </is>
      </c>
      <c r="BF485" t="inlineStr">
        <is>
          <t>893373393</t>
        </is>
      </c>
    </row>
    <row r="486">
      <c r="A486" t="inlineStr">
        <is>
          <t>No</t>
        </is>
      </c>
      <c r="B486" t="inlineStr">
        <is>
          <t>CUHSL</t>
        </is>
      </c>
      <c r="C486" t="inlineStr">
        <is>
          <t>SHELVES</t>
        </is>
      </c>
      <c r="D486" t="inlineStr">
        <is>
          <t>W 50 M482 1997</t>
        </is>
      </c>
      <c r="E486" t="inlineStr">
        <is>
          <t>0                      W  0050000M  482         1997</t>
        </is>
      </c>
      <c r="F486" t="inlineStr">
        <is>
          <t>Medical ethics / edited by Robert M. Veatch.</t>
        </is>
      </c>
      <c r="H486" t="inlineStr">
        <is>
          <t>No</t>
        </is>
      </c>
      <c r="I486" t="inlineStr">
        <is>
          <t>1</t>
        </is>
      </c>
      <c r="J486" t="inlineStr">
        <is>
          <t>No</t>
        </is>
      </c>
      <c r="K486" t="inlineStr">
        <is>
          <t>Yes</t>
        </is>
      </c>
      <c r="L486" t="inlineStr">
        <is>
          <t>0</t>
        </is>
      </c>
      <c r="N486" t="inlineStr">
        <is>
          <t>Sudbury, Mass. : Jones and Bartlett Publishers, c1997.</t>
        </is>
      </c>
      <c r="O486" t="inlineStr">
        <is>
          <t>1997</t>
        </is>
      </c>
      <c r="P486" t="inlineStr">
        <is>
          <t>2nd ed.</t>
        </is>
      </c>
      <c r="Q486" t="inlineStr">
        <is>
          <t>eng</t>
        </is>
      </c>
      <c r="R486" t="inlineStr">
        <is>
          <t>mau</t>
        </is>
      </c>
      <c r="S486" t="inlineStr">
        <is>
          <t>Jones and Bartlett series in philosophy</t>
        </is>
      </c>
      <c r="T486" t="inlineStr">
        <is>
          <t xml:space="preserve">W  </t>
        </is>
      </c>
      <c r="U486" t="n">
        <v>30</v>
      </c>
      <c r="V486" t="n">
        <v>30</v>
      </c>
      <c r="W486" t="inlineStr">
        <is>
          <t>2008-08-15</t>
        </is>
      </c>
      <c r="X486" t="inlineStr">
        <is>
          <t>2008-08-15</t>
        </is>
      </c>
      <c r="Y486" t="inlineStr">
        <is>
          <t>1999-09-24</t>
        </is>
      </c>
      <c r="Z486" t="inlineStr">
        <is>
          <t>1999-09-24</t>
        </is>
      </c>
      <c r="AA486" t="n">
        <v>550</v>
      </c>
      <c r="AB486" t="n">
        <v>458</v>
      </c>
      <c r="AC486" t="n">
        <v>1634</v>
      </c>
      <c r="AD486" t="n">
        <v>2</v>
      </c>
      <c r="AE486" t="n">
        <v>7</v>
      </c>
      <c r="AF486" t="n">
        <v>24</v>
      </c>
      <c r="AG486" t="n">
        <v>54</v>
      </c>
      <c r="AH486" t="n">
        <v>10</v>
      </c>
      <c r="AI486" t="n">
        <v>25</v>
      </c>
      <c r="AJ486" t="n">
        <v>6</v>
      </c>
      <c r="AK486" t="n">
        <v>11</v>
      </c>
      <c r="AL486" t="n">
        <v>15</v>
      </c>
      <c r="AM486" t="n">
        <v>25</v>
      </c>
      <c r="AN486" t="n">
        <v>1</v>
      </c>
      <c r="AO486" t="n">
        <v>5</v>
      </c>
      <c r="AP486" t="n">
        <v>1</v>
      </c>
      <c r="AQ486" t="n">
        <v>2</v>
      </c>
      <c r="AR486" t="inlineStr">
        <is>
          <t>No</t>
        </is>
      </c>
      <c r="AS486" t="inlineStr">
        <is>
          <t>Yes</t>
        </is>
      </c>
      <c r="AT486">
        <f>HYPERLINK("http://catalog.hathitrust.org/Record/003093122","HathiTrust Record")</f>
        <v/>
      </c>
      <c r="AU486">
        <f>HYPERLINK("https://creighton-primo.hosted.exlibrisgroup.com/primo-explore/search?tab=default_tab&amp;search_scope=EVERYTHING&amp;vid=01CRU&amp;lang=en_US&amp;offset=0&amp;query=any,contains,991001338059702656","Catalog Record")</f>
        <v/>
      </c>
      <c r="AV486">
        <f>HYPERLINK("http://www.worldcat.org/oclc/34772350","WorldCat Record")</f>
        <v/>
      </c>
      <c r="AW486" t="inlineStr">
        <is>
          <t>411307533:eng</t>
        </is>
      </c>
      <c r="AX486" t="inlineStr">
        <is>
          <t>34772350</t>
        </is>
      </c>
      <c r="AY486" t="inlineStr">
        <is>
          <t>991001338059702656</t>
        </is>
      </c>
      <c r="AZ486" t="inlineStr">
        <is>
          <t>991001338059702656</t>
        </is>
      </c>
      <c r="BA486" t="inlineStr">
        <is>
          <t>2263129860002656</t>
        </is>
      </c>
      <c r="BB486" t="inlineStr">
        <is>
          <t>BOOK</t>
        </is>
      </c>
      <c r="BD486" t="inlineStr">
        <is>
          <t>9780867209747</t>
        </is>
      </c>
      <c r="BE486" t="inlineStr">
        <is>
          <t>30001003790898</t>
        </is>
      </c>
      <c r="BF486" t="inlineStr">
        <is>
          <t>893287356</t>
        </is>
      </c>
    </row>
    <row r="487">
      <c r="A487" t="inlineStr">
        <is>
          <t>No</t>
        </is>
      </c>
      <c r="B487" t="inlineStr">
        <is>
          <t>CUHSL</t>
        </is>
      </c>
      <c r="C487" t="inlineStr">
        <is>
          <t>SHELVES</t>
        </is>
      </c>
      <c r="D487" t="inlineStr">
        <is>
          <t>W 50 M483 1988</t>
        </is>
      </c>
      <c r="E487" t="inlineStr">
        <is>
          <t>0                      W  0050000M  483         1988</t>
        </is>
      </c>
      <c r="F487" t="inlineStr">
        <is>
          <t>Medical ethics : a guide for health professionals / edited by John F. Monagle, David C. Thomasma.</t>
        </is>
      </c>
      <c r="H487" t="inlineStr">
        <is>
          <t>No</t>
        </is>
      </c>
      <c r="I487" t="inlineStr">
        <is>
          <t>1</t>
        </is>
      </c>
      <c r="J487" t="inlineStr">
        <is>
          <t>No</t>
        </is>
      </c>
      <c r="K487" t="inlineStr">
        <is>
          <t>No</t>
        </is>
      </c>
      <c r="L487" t="inlineStr">
        <is>
          <t>0</t>
        </is>
      </c>
      <c r="N487" t="inlineStr">
        <is>
          <t>Rockville, Md. : Aspen Publishers, c1988.</t>
        </is>
      </c>
      <c r="O487" t="inlineStr">
        <is>
          <t>1988</t>
        </is>
      </c>
      <c r="Q487" t="inlineStr">
        <is>
          <t>eng</t>
        </is>
      </c>
      <c r="R487" t="inlineStr">
        <is>
          <t>xxu</t>
        </is>
      </c>
      <c r="T487" t="inlineStr">
        <is>
          <t xml:space="preserve">W  </t>
        </is>
      </c>
      <c r="U487" t="n">
        <v>36</v>
      </c>
      <c r="V487" t="n">
        <v>36</v>
      </c>
      <c r="W487" t="inlineStr">
        <is>
          <t>1997-04-26</t>
        </is>
      </c>
      <c r="X487" t="inlineStr">
        <is>
          <t>1997-04-26</t>
        </is>
      </c>
      <c r="Y487" t="inlineStr">
        <is>
          <t>1988-03-18</t>
        </is>
      </c>
      <c r="Z487" t="inlineStr">
        <is>
          <t>1988-03-18</t>
        </is>
      </c>
      <c r="AA487" t="n">
        <v>472</v>
      </c>
      <c r="AB487" t="n">
        <v>439</v>
      </c>
      <c r="AC487" t="n">
        <v>446</v>
      </c>
      <c r="AD487" t="n">
        <v>1</v>
      </c>
      <c r="AE487" t="n">
        <v>1</v>
      </c>
      <c r="AF487" t="n">
        <v>21</v>
      </c>
      <c r="AG487" t="n">
        <v>21</v>
      </c>
      <c r="AH487" t="n">
        <v>4</v>
      </c>
      <c r="AI487" t="n">
        <v>4</v>
      </c>
      <c r="AJ487" t="n">
        <v>5</v>
      </c>
      <c r="AK487" t="n">
        <v>5</v>
      </c>
      <c r="AL487" t="n">
        <v>12</v>
      </c>
      <c r="AM487" t="n">
        <v>12</v>
      </c>
      <c r="AN487" t="n">
        <v>0</v>
      </c>
      <c r="AO487" t="n">
        <v>0</v>
      </c>
      <c r="AP487" t="n">
        <v>4</v>
      </c>
      <c r="AQ487" t="n">
        <v>4</v>
      </c>
      <c r="AR487" t="inlineStr">
        <is>
          <t>No</t>
        </is>
      </c>
      <c r="AS487" t="inlineStr">
        <is>
          <t>Yes</t>
        </is>
      </c>
      <c r="AT487">
        <f>HYPERLINK("http://catalog.hathitrust.org/Record/001082386","HathiTrust Record")</f>
        <v/>
      </c>
      <c r="AU487">
        <f>HYPERLINK("https://creighton-primo.hosted.exlibrisgroup.com/primo-explore/search?tab=default_tab&amp;search_scope=EVERYTHING&amp;vid=01CRU&amp;lang=en_US&amp;offset=0&amp;query=any,contains,991001173539702656","Catalog Record")</f>
        <v/>
      </c>
      <c r="AV487">
        <f>HYPERLINK("http://www.worldcat.org/oclc/16579065","WorldCat Record")</f>
        <v/>
      </c>
      <c r="AW487" t="inlineStr">
        <is>
          <t>890399027:eng</t>
        </is>
      </c>
      <c r="AX487" t="inlineStr">
        <is>
          <t>16579065</t>
        </is>
      </c>
      <c r="AY487" t="inlineStr">
        <is>
          <t>991001173539702656</t>
        </is>
      </c>
      <c r="AZ487" t="inlineStr">
        <is>
          <t>991001173539702656</t>
        </is>
      </c>
      <c r="BA487" t="inlineStr">
        <is>
          <t>2271845950002656</t>
        </is>
      </c>
      <c r="BB487" t="inlineStr">
        <is>
          <t>BOOK</t>
        </is>
      </c>
      <c r="BD487" t="inlineStr">
        <is>
          <t>9780871898869</t>
        </is>
      </c>
      <c r="BE487" t="inlineStr">
        <is>
          <t>30001000975542</t>
        </is>
      </c>
      <c r="BF487" t="inlineStr">
        <is>
          <t>893648948</t>
        </is>
      </c>
    </row>
    <row r="488">
      <c r="A488" t="inlineStr">
        <is>
          <t>No</t>
        </is>
      </c>
      <c r="B488" t="inlineStr">
        <is>
          <t>CUHSL</t>
        </is>
      </c>
      <c r="C488" t="inlineStr">
        <is>
          <t>SHELVES</t>
        </is>
      </c>
      <c r="D488" t="inlineStr">
        <is>
          <t>W 50 M486 1981</t>
        </is>
      </c>
      <c r="E488" t="inlineStr">
        <is>
          <t>0                      W  0050000M  486         1981</t>
        </is>
      </c>
      <c r="F488" t="inlineStr">
        <is>
          <t>Medical ethics and the law : implications for public policy / [edited by] Marc D. Hiller.</t>
        </is>
      </c>
      <c r="H488" t="inlineStr">
        <is>
          <t>No</t>
        </is>
      </c>
      <c r="I488" t="inlineStr">
        <is>
          <t>1</t>
        </is>
      </c>
      <c r="J488" t="inlineStr">
        <is>
          <t>Yes</t>
        </is>
      </c>
      <c r="K488" t="inlineStr">
        <is>
          <t>No</t>
        </is>
      </c>
      <c r="L488" t="inlineStr">
        <is>
          <t>0</t>
        </is>
      </c>
      <c r="N488" t="inlineStr">
        <is>
          <t>Cambridge, Mass. : Ballinger Pub. Co., c1981.</t>
        </is>
      </c>
      <c r="O488" t="inlineStr">
        <is>
          <t>1981</t>
        </is>
      </c>
      <c r="Q488" t="inlineStr">
        <is>
          <t>eng</t>
        </is>
      </c>
      <c r="R488" t="inlineStr">
        <is>
          <t>xxu</t>
        </is>
      </c>
      <c r="T488" t="inlineStr">
        <is>
          <t xml:space="preserve">W  </t>
        </is>
      </c>
      <c r="U488" t="n">
        <v>20</v>
      </c>
      <c r="V488" t="n">
        <v>20</v>
      </c>
      <c r="W488" t="inlineStr">
        <is>
          <t>1994-03-29</t>
        </is>
      </c>
      <c r="X488" t="inlineStr">
        <is>
          <t>1994-03-29</t>
        </is>
      </c>
      <c r="Y488" t="inlineStr">
        <is>
          <t>1987-10-02</t>
        </is>
      </c>
      <c r="Z488" t="inlineStr">
        <is>
          <t>1987-10-02</t>
        </is>
      </c>
      <c r="AA488" t="n">
        <v>485</v>
      </c>
      <c r="AB488" t="n">
        <v>422</v>
      </c>
      <c r="AC488" t="n">
        <v>431</v>
      </c>
      <c r="AD488" t="n">
        <v>4</v>
      </c>
      <c r="AE488" t="n">
        <v>4</v>
      </c>
      <c r="AF488" t="n">
        <v>32</v>
      </c>
      <c r="AG488" t="n">
        <v>32</v>
      </c>
      <c r="AH488" t="n">
        <v>7</v>
      </c>
      <c r="AI488" t="n">
        <v>7</v>
      </c>
      <c r="AJ488" t="n">
        <v>5</v>
      </c>
      <c r="AK488" t="n">
        <v>5</v>
      </c>
      <c r="AL488" t="n">
        <v>12</v>
      </c>
      <c r="AM488" t="n">
        <v>12</v>
      </c>
      <c r="AN488" t="n">
        <v>1</v>
      </c>
      <c r="AO488" t="n">
        <v>1</v>
      </c>
      <c r="AP488" t="n">
        <v>15</v>
      </c>
      <c r="AQ488" t="n">
        <v>15</v>
      </c>
      <c r="AR488" t="inlineStr">
        <is>
          <t>No</t>
        </is>
      </c>
      <c r="AS488" t="inlineStr">
        <is>
          <t>Yes</t>
        </is>
      </c>
      <c r="AT488">
        <f>HYPERLINK("http://catalog.hathitrust.org/Record/000186938","HathiTrust Record")</f>
        <v/>
      </c>
      <c r="AU488">
        <f>HYPERLINK("https://creighton-primo.hosted.exlibrisgroup.com/primo-explore/search?tab=default_tab&amp;search_scope=EVERYTHING&amp;vid=01CRU&amp;lang=en_US&amp;offset=0&amp;query=any,contains,991001256409702656","Catalog Record")</f>
        <v/>
      </c>
      <c r="AV488">
        <f>HYPERLINK("http://www.worldcat.org/oclc/7462112","WorldCat Record")</f>
        <v/>
      </c>
      <c r="AW488" t="inlineStr">
        <is>
          <t>27317181:eng</t>
        </is>
      </c>
      <c r="AX488" t="inlineStr">
        <is>
          <t>7462112</t>
        </is>
      </c>
      <c r="AY488" t="inlineStr">
        <is>
          <t>991001256409702656</t>
        </is>
      </c>
      <c r="AZ488" t="inlineStr">
        <is>
          <t>991001256409702656</t>
        </is>
      </c>
      <c r="BA488" t="inlineStr">
        <is>
          <t>2256136340002656</t>
        </is>
      </c>
      <c r="BB488" t="inlineStr">
        <is>
          <t>BOOK</t>
        </is>
      </c>
      <c r="BD488" t="inlineStr">
        <is>
          <t>9780884107071</t>
        </is>
      </c>
      <c r="BE488" t="inlineStr">
        <is>
          <t>30001000344954</t>
        </is>
      </c>
      <c r="BF488" t="inlineStr">
        <is>
          <t>893649014</t>
        </is>
      </c>
    </row>
    <row r="489">
      <c r="A489" t="inlineStr">
        <is>
          <t>No</t>
        </is>
      </c>
      <c r="B489" t="inlineStr">
        <is>
          <t>CUHSL</t>
        </is>
      </c>
      <c r="C489" t="inlineStr">
        <is>
          <t>SHELVES</t>
        </is>
      </c>
      <c r="D489" t="inlineStr">
        <is>
          <t>W 50 M4897 1995</t>
        </is>
      </c>
      <c r="E489" t="inlineStr">
        <is>
          <t>0                      W  0050000M  4897        1995</t>
        </is>
      </c>
      <c r="F489" t="inlineStr">
        <is>
          <t>Medical ethics in the contemporary era / Shabih H. Zaidi ... [et al.].</t>
        </is>
      </c>
      <c r="H489" t="inlineStr">
        <is>
          <t>No</t>
        </is>
      </c>
      <c r="I489" t="inlineStr">
        <is>
          <t>1</t>
        </is>
      </c>
      <c r="J489" t="inlineStr">
        <is>
          <t>No</t>
        </is>
      </c>
      <c r="K489" t="inlineStr">
        <is>
          <t>No</t>
        </is>
      </c>
      <c r="L489" t="inlineStr">
        <is>
          <t>0</t>
        </is>
      </c>
      <c r="N489" t="inlineStr">
        <is>
          <t>Karachi, Pakistan : Royal Book Co. : Pakistan Medical Journalists' Association, c1995.</t>
        </is>
      </c>
      <c r="O489" t="inlineStr">
        <is>
          <t>1993</t>
        </is>
      </c>
      <c r="P489" t="inlineStr">
        <is>
          <t>1st ed.</t>
        </is>
      </c>
      <c r="Q489" t="inlineStr">
        <is>
          <t>eng</t>
        </is>
      </c>
      <c r="R489" t="inlineStr">
        <is>
          <t xml:space="preserve">pk </t>
        </is>
      </c>
      <c r="T489" t="inlineStr">
        <is>
          <t xml:space="preserve">W  </t>
        </is>
      </c>
      <c r="U489" t="n">
        <v>0</v>
      </c>
      <c r="V489" t="n">
        <v>0</v>
      </c>
      <c r="W489" t="inlineStr">
        <is>
          <t>2005-07-17</t>
        </is>
      </c>
      <c r="X489" t="inlineStr">
        <is>
          <t>2005-07-17</t>
        </is>
      </c>
      <c r="Y489" t="inlineStr">
        <is>
          <t>2005-07-14</t>
        </is>
      </c>
      <c r="Z489" t="inlineStr">
        <is>
          <t>2005-07-14</t>
        </is>
      </c>
      <c r="AA489" t="n">
        <v>11</v>
      </c>
      <c r="AB489" t="n">
        <v>8</v>
      </c>
      <c r="AC489" t="n">
        <v>9</v>
      </c>
      <c r="AD489" t="n">
        <v>1</v>
      </c>
      <c r="AE489" t="n">
        <v>1</v>
      </c>
      <c r="AF489" t="n">
        <v>0</v>
      </c>
      <c r="AG489" t="n">
        <v>0</v>
      </c>
      <c r="AH489" t="n">
        <v>0</v>
      </c>
      <c r="AI489" t="n">
        <v>0</v>
      </c>
      <c r="AJ489" t="n">
        <v>0</v>
      </c>
      <c r="AK489" t="n">
        <v>0</v>
      </c>
      <c r="AL489" t="n">
        <v>0</v>
      </c>
      <c r="AM489" t="n">
        <v>0</v>
      </c>
      <c r="AN489" t="n">
        <v>0</v>
      </c>
      <c r="AO489" t="n">
        <v>0</v>
      </c>
      <c r="AP489" t="n">
        <v>0</v>
      </c>
      <c r="AQ489" t="n">
        <v>0</v>
      </c>
      <c r="AR489" t="inlineStr">
        <is>
          <t>No</t>
        </is>
      </c>
      <c r="AS489" t="inlineStr">
        <is>
          <t>No</t>
        </is>
      </c>
      <c r="AU489">
        <f>HYPERLINK("https://creighton-primo.hosted.exlibrisgroup.com/primo-explore/search?tab=default_tab&amp;search_scope=EVERYTHING&amp;vid=01CRU&amp;lang=en_US&amp;offset=0&amp;query=any,contains,991000441179702656","Catalog Record")</f>
        <v/>
      </c>
      <c r="AV489">
        <f>HYPERLINK("http://www.worldcat.org/oclc/35990080","WorldCat Record")</f>
        <v/>
      </c>
      <c r="AW489" t="inlineStr">
        <is>
          <t>45779317:eng</t>
        </is>
      </c>
      <c r="AX489" t="inlineStr">
        <is>
          <t>35990080</t>
        </is>
      </c>
      <c r="AY489" t="inlineStr">
        <is>
          <t>991000441179702656</t>
        </is>
      </c>
      <c r="AZ489" t="inlineStr">
        <is>
          <t>991000441179702656</t>
        </is>
      </c>
      <c r="BA489" t="inlineStr">
        <is>
          <t>2264399070002656</t>
        </is>
      </c>
      <c r="BB489" t="inlineStr">
        <is>
          <t>BOOK</t>
        </is>
      </c>
      <c r="BD489" t="inlineStr">
        <is>
          <t>9789698219048</t>
        </is>
      </c>
      <c r="BE489" t="inlineStr">
        <is>
          <t>30001005000478</t>
        </is>
      </c>
      <c r="BF489" t="inlineStr">
        <is>
          <t>893447343</t>
        </is>
      </c>
    </row>
    <row r="490">
      <c r="A490" t="inlineStr">
        <is>
          <t>No</t>
        </is>
      </c>
      <c r="B490" t="inlineStr">
        <is>
          <t>CUHSL</t>
        </is>
      </c>
      <c r="C490" t="inlineStr">
        <is>
          <t>SHELVES</t>
        </is>
      </c>
      <c r="D490" t="inlineStr">
        <is>
          <t>W 50 M4898 1980</t>
        </is>
      </c>
      <c r="E490" t="inlineStr">
        <is>
          <t>0                      W  0050000M  4898        1980</t>
        </is>
      </c>
      <c r="F490" t="inlineStr">
        <is>
          <t>Medicine and religion : strategies of care / Donald W. Shriver, Jr., editor.</t>
        </is>
      </c>
      <c r="H490" t="inlineStr">
        <is>
          <t>No</t>
        </is>
      </c>
      <c r="I490" t="inlineStr">
        <is>
          <t>1</t>
        </is>
      </c>
      <c r="J490" t="inlineStr">
        <is>
          <t>Yes</t>
        </is>
      </c>
      <c r="K490" t="inlineStr">
        <is>
          <t>No</t>
        </is>
      </c>
      <c r="L490" t="inlineStr">
        <is>
          <t>0</t>
        </is>
      </c>
      <c r="N490" t="inlineStr">
        <is>
          <t>Pittsburgh : Univ. of Pittsburgh Press in cooperation with the Institute on Human Values in Medicine of the Society for Health and Human Values, c1980.</t>
        </is>
      </c>
      <c r="O490" t="inlineStr">
        <is>
          <t>1980</t>
        </is>
      </c>
      <c r="Q490" t="inlineStr">
        <is>
          <t>eng</t>
        </is>
      </c>
      <c r="R490" t="inlineStr">
        <is>
          <t>xxu</t>
        </is>
      </c>
      <c r="S490" t="inlineStr">
        <is>
          <t>Institute on Human Values in Medicine ; no. 13</t>
        </is>
      </c>
      <c r="T490" t="inlineStr">
        <is>
          <t xml:space="preserve">W  </t>
        </is>
      </c>
      <c r="U490" t="n">
        <v>5</v>
      </c>
      <c r="V490" t="n">
        <v>5</v>
      </c>
      <c r="W490" t="inlineStr">
        <is>
          <t>2002-10-30</t>
        </is>
      </c>
      <c r="X490" t="inlineStr">
        <is>
          <t>2002-10-30</t>
        </is>
      </c>
      <c r="Y490" t="inlineStr">
        <is>
          <t>1987-10-02</t>
        </is>
      </c>
      <c r="Z490" t="inlineStr">
        <is>
          <t>1987-10-02</t>
        </is>
      </c>
      <c r="AA490" t="n">
        <v>367</v>
      </c>
      <c r="AB490" t="n">
        <v>322</v>
      </c>
      <c r="AC490" t="n">
        <v>342</v>
      </c>
      <c r="AD490" t="n">
        <v>2</v>
      </c>
      <c r="AE490" t="n">
        <v>2</v>
      </c>
      <c r="AF490" t="n">
        <v>14</v>
      </c>
      <c r="AG490" t="n">
        <v>14</v>
      </c>
      <c r="AH490" t="n">
        <v>5</v>
      </c>
      <c r="AI490" t="n">
        <v>5</v>
      </c>
      <c r="AJ490" t="n">
        <v>4</v>
      </c>
      <c r="AK490" t="n">
        <v>4</v>
      </c>
      <c r="AL490" t="n">
        <v>10</v>
      </c>
      <c r="AM490" t="n">
        <v>10</v>
      </c>
      <c r="AN490" t="n">
        <v>0</v>
      </c>
      <c r="AO490" t="n">
        <v>0</v>
      </c>
      <c r="AP490" t="n">
        <v>0</v>
      </c>
      <c r="AQ490" t="n">
        <v>0</v>
      </c>
      <c r="AR490" t="inlineStr">
        <is>
          <t>No</t>
        </is>
      </c>
      <c r="AS490" t="inlineStr">
        <is>
          <t>Yes</t>
        </is>
      </c>
      <c r="AT490">
        <f>HYPERLINK("http://catalog.hathitrust.org/Record/000698533","HathiTrust Record")</f>
        <v/>
      </c>
      <c r="AU490">
        <f>HYPERLINK("https://creighton-primo.hosted.exlibrisgroup.com/primo-explore/search?tab=default_tab&amp;search_scope=EVERYTHING&amp;vid=01CRU&amp;lang=en_US&amp;offset=0&amp;query=any,contains,991001168349702656","Catalog Record")</f>
        <v/>
      </c>
      <c r="AV490">
        <f>HYPERLINK("http://www.worldcat.org/oclc/5611625","WorldCat Record")</f>
        <v/>
      </c>
      <c r="AW490" t="inlineStr">
        <is>
          <t>793542822:eng</t>
        </is>
      </c>
      <c r="AX490" t="inlineStr">
        <is>
          <t>5611625</t>
        </is>
      </c>
      <c r="AY490" t="inlineStr">
        <is>
          <t>991001168349702656</t>
        </is>
      </c>
      <c r="AZ490" t="inlineStr">
        <is>
          <t>991001168349702656</t>
        </is>
      </c>
      <c r="BA490" t="inlineStr">
        <is>
          <t>2255539180002656</t>
        </is>
      </c>
      <c r="BB490" t="inlineStr">
        <is>
          <t>BOOK</t>
        </is>
      </c>
      <c r="BD490" t="inlineStr">
        <is>
          <t>9780822934127</t>
        </is>
      </c>
      <c r="BE490" t="inlineStr">
        <is>
          <t>30001000305963</t>
        </is>
      </c>
      <c r="BF490" t="inlineStr">
        <is>
          <t>893363842</t>
        </is>
      </c>
    </row>
    <row r="491">
      <c r="A491" t="inlineStr">
        <is>
          <t>No</t>
        </is>
      </c>
      <c r="B491" t="inlineStr">
        <is>
          <t>CUHSL</t>
        </is>
      </c>
      <c r="C491" t="inlineStr">
        <is>
          <t>SHELVES</t>
        </is>
      </c>
      <c r="D491" t="inlineStr">
        <is>
          <t>W 50 M489r 1979</t>
        </is>
      </c>
      <c r="E491" t="inlineStr">
        <is>
          <t>0                      W  0050000M  489r        1979</t>
        </is>
      </c>
      <c r="F491" t="inlineStr">
        <is>
          <t>Medical responsibility : paternalism, informed consent, and euthanasia / edited by Wade L. Robison and Michael S. Pritchard.</t>
        </is>
      </c>
      <c r="H491" t="inlineStr">
        <is>
          <t>No</t>
        </is>
      </c>
      <c r="I491" t="inlineStr">
        <is>
          <t>1</t>
        </is>
      </c>
      <c r="J491" t="inlineStr">
        <is>
          <t>No</t>
        </is>
      </c>
      <c r="K491" t="inlineStr">
        <is>
          <t>No</t>
        </is>
      </c>
      <c r="L491" t="inlineStr">
        <is>
          <t>0</t>
        </is>
      </c>
      <c r="N491" t="inlineStr">
        <is>
          <t>Clifton, N.J. : Humana Press, c1979.</t>
        </is>
      </c>
      <c r="O491" t="inlineStr">
        <is>
          <t>1979</t>
        </is>
      </c>
      <c r="Q491" t="inlineStr">
        <is>
          <t>eng</t>
        </is>
      </c>
      <c r="R491" t="inlineStr">
        <is>
          <t>nju</t>
        </is>
      </c>
      <c r="S491" t="inlineStr">
        <is>
          <t>Contemporary topics in biomedicine, ethics, and society</t>
        </is>
      </c>
      <c r="T491" t="inlineStr">
        <is>
          <t xml:space="preserve">W  </t>
        </is>
      </c>
      <c r="U491" t="n">
        <v>20</v>
      </c>
      <c r="V491" t="n">
        <v>20</v>
      </c>
      <c r="W491" t="inlineStr">
        <is>
          <t>2003-04-26</t>
        </is>
      </c>
      <c r="X491" t="inlineStr">
        <is>
          <t>2003-04-26</t>
        </is>
      </c>
      <c r="Y491" t="inlineStr">
        <is>
          <t>1987-10-02</t>
        </is>
      </c>
      <c r="Z491" t="inlineStr">
        <is>
          <t>1987-10-02</t>
        </is>
      </c>
      <c r="AA491" t="n">
        <v>327</v>
      </c>
      <c r="AB491" t="n">
        <v>258</v>
      </c>
      <c r="AC491" t="n">
        <v>265</v>
      </c>
      <c r="AD491" t="n">
        <v>1</v>
      </c>
      <c r="AE491" t="n">
        <v>1</v>
      </c>
      <c r="AF491" t="n">
        <v>11</v>
      </c>
      <c r="AG491" t="n">
        <v>11</v>
      </c>
      <c r="AH491" t="n">
        <v>1</v>
      </c>
      <c r="AI491" t="n">
        <v>1</v>
      </c>
      <c r="AJ491" t="n">
        <v>1</v>
      </c>
      <c r="AK491" t="n">
        <v>1</v>
      </c>
      <c r="AL491" t="n">
        <v>9</v>
      </c>
      <c r="AM491" t="n">
        <v>9</v>
      </c>
      <c r="AN491" t="n">
        <v>0</v>
      </c>
      <c r="AO491" t="n">
        <v>0</v>
      </c>
      <c r="AP491" t="n">
        <v>2</v>
      </c>
      <c r="AQ491" t="n">
        <v>2</v>
      </c>
      <c r="AR491" t="inlineStr">
        <is>
          <t>No</t>
        </is>
      </c>
      <c r="AS491" t="inlineStr">
        <is>
          <t>Yes</t>
        </is>
      </c>
      <c r="AT491">
        <f>HYPERLINK("http://catalog.hathitrust.org/Record/000022709","HathiTrust Record")</f>
        <v/>
      </c>
      <c r="AU491">
        <f>HYPERLINK("https://creighton-primo.hosted.exlibrisgroup.com/primo-explore/search?tab=default_tab&amp;search_scope=EVERYTHING&amp;vid=01CRU&amp;lang=en_US&amp;offset=0&amp;query=any,contains,991001256499702656","Catalog Record")</f>
        <v/>
      </c>
      <c r="AV491">
        <f>HYPERLINK("http://www.worldcat.org/oclc/5289330","WorldCat Record")</f>
        <v/>
      </c>
      <c r="AW491" t="inlineStr">
        <is>
          <t>836632357:eng</t>
        </is>
      </c>
      <c r="AX491" t="inlineStr">
        <is>
          <t>5289330</t>
        </is>
      </c>
      <c r="AY491" t="inlineStr">
        <is>
          <t>991001256499702656</t>
        </is>
      </c>
      <c r="AZ491" t="inlineStr">
        <is>
          <t>991001256499702656</t>
        </is>
      </c>
      <c r="BA491" t="inlineStr">
        <is>
          <t>2256530200002656</t>
        </is>
      </c>
      <c r="BB491" t="inlineStr">
        <is>
          <t>BOOK</t>
        </is>
      </c>
      <c r="BD491" t="inlineStr">
        <is>
          <t>9780896030077</t>
        </is>
      </c>
      <c r="BE491" t="inlineStr">
        <is>
          <t>30001000344988</t>
        </is>
      </c>
      <c r="BF491" t="inlineStr">
        <is>
          <t>893284608</t>
        </is>
      </c>
    </row>
    <row r="492">
      <c r="A492" t="inlineStr">
        <is>
          <t>No</t>
        </is>
      </c>
      <c r="B492" t="inlineStr">
        <is>
          <t>CUHSL</t>
        </is>
      </c>
      <c r="C492" t="inlineStr">
        <is>
          <t>SHELVES</t>
        </is>
      </c>
      <c r="D492" t="inlineStr">
        <is>
          <t>W 50 M514a 1989</t>
        </is>
      </c>
      <c r="E492" t="inlineStr">
        <is>
          <t>0                      W  0050000M  514a        1989</t>
        </is>
      </c>
      <c r="F492" t="inlineStr">
        <is>
          <t>Anencephalic infants as potential organ sources : ethical and legal issues / by Sue A. Meinke.</t>
        </is>
      </c>
      <c r="H492" t="inlineStr">
        <is>
          <t>No</t>
        </is>
      </c>
      <c r="I492" t="inlineStr">
        <is>
          <t>1</t>
        </is>
      </c>
      <c r="J492" t="inlineStr">
        <is>
          <t>No</t>
        </is>
      </c>
      <c r="K492" t="inlineStr">
        <is>
          <t>No</t>
        </is>
      </c>
      <c r="L492" t="inlineStr">
        <is>
          <t>0</t>
        </is>
      </c>
      <c r="M492" t="inlineStr">
        <is>
          <t>Meinke, Sue A.</t>
        </is>
      </c>
      <c r="N492" t="inlineStr">
        <is>
          <t>Washington, D.C. : National Reference Center for Bioethics Literature, Kennedy Institute of Ethics, Georgetown University, [c1989]</t>
        </is>
      </c>
      <c r="O492" t="inlineStr">
        <is>
          <t>1989</t>
        </is>
      </c>
      <c r="Q492" t="inlineStr">
        <is>
          <t>eng</t>
        </is>
      </c>
      <c r="R492" t="inlineStr">
        <is>
          <t>dcu</t>
        </is>
      </c>
      <c r="S492" t="inlineStr">
        <is>
          <t>Scope note : 12</t>
        </is>
      </c>
      <c r="T492" t="inlineStr">
        <is>
          <t xml:space="preserve">W  </t>
        </is>
      </c>
      <c r="U492" t="n">
        <v>9</v>
      </c>
      <c r="V492" t="n">
        <v>9</v>
      </c>
      <c r="W492" t="inlineStr">
        <is>
          <t>2001-11-26</t>
        </is>
      </c>
      <c r="X492" t="inlineStr">
        <is>
          <t>2001-11-26</t>
        </is>
      </c>
      <c r="Y492" t="inlineStr">
        <is>
          <t>1989-10-02</t>
        </is>
      </c>
      <c r="Z492" t="inlineStr">
        <is>
          <t>1989-10-02</t>
        </is>
      </c>
      <c r="AA492" t="n">
        <v>14</v>
      </c>
      <c r="AB492" t="n">
        <v>13</v>
      </c>
      <c r="AC492" t="n">
        <v>13</v>
      </c>
      <c r="AD492" t="n">
        <v>1</v>
      </c>
      <c r="AE492" t="n">
        <v>1</v>
      </c>
      <c r="AF492" t="n">
        <v>3</v>
      </c>
      <c r="AG492" t="n">
        <v>3</v>
      </c>
      <c r="AH492" t="n">
        <v>0</v>
      </c>
      <c r="AI492" t="n">
        <v>0</v>
      </c>
      <c r="AJ492" t="n">
        <v>0</v>
      </c>
      <c r="AK492" t="n">
        <v>0</v>
      </c>
      <c r="AL492" t="n">
        <v>1</v>
      </c>
      <c r="AM492" t="n">
        <v>1</v>
      </c>
      <c r="AN492" t="n">
        <v>0</v>
      </c>
      <c r="AO492" t="n">
        <v>0</v>
      </c>
      <c r="AP492" t="n">
        <v>2</v>
      </c>
      <c r="AQ492" t="n">
        <v>2</v>
      </c>
      <c r="AR492" t="inlineStr">
        <is>
          <t>No</t>
        </is>
      </c>
      <c r="AS492" t="inlineStr">
        <is>
          <t>No</t>
        </is>
      </c>
      <c r="AU492">
        <f>HYPERLINK("https://creighton-primo.hosted.exlibrisgroup.com/primo-explore/search?tab=default_tab&amp;search_scope=EVERYTHING&amp;vid=01CRU&amp;lang=en_US&amp;offset=0&amp;query=any,contains,991001316129702656","Catalog Record")</f>
        <v/>
      </c>
      <c r="AV492">
        <f>HYPERLINK("http://www.worldcat.org/oclc/21942744","WorldCat Record")</f>
        <v/>
      </c>
      <c r="AW492" t="inlineStr">
        <is>
          <t>23836131:eng</t>
        </is>
      </c>
      <c r="AX492" t="inlineStr">
        <is>
          <t>21942744</t>
        </is>
      </c>
      <c r="AY492" t="inlineStr">
        <is>
          <t>991001316129702656</t>
        </is>
      </c>
      <c r="AZ492" t="inlineStr">
        <is>
          <t>991001316129702656</t>
        </is>
      </c>
      <c r="BA492" t="inlineStr">
        <is>
          <t>2257172950002656</t>
        </is>
      </c>
      <c r="BB492" t="inlineStr">
        <is>
          <t>BOOK</t>
        </is>
      </c>
      <c r="BE492" t="inlineStr">
        <is>
          <t>30001001752866</t>
        </is>
      </c>
      <c r="BF492" t="inlineStr">
        <is>
          <t>893358454</t>
        </is>
      </c>
    </row>
    <row r="493">
      <c r="A493" t="inlineStr">
        <is>
          <t>No</t>
        </is>
      </c>
      <c r="B493" t="inlineStr">
        <is>
          <t>CUHSL</t>
        </is>
      </c>
      <c r="C493" t="inlineStr">
        <is>
          <t>SHELVES</t>
        </is>
      </c>
      <c r="D493" t="inlineStr">
        <is>
          <t>W 50 M551s 1990</t>
        </is>
      </c>
      <c r="E493" t="inlineStr">
        <is>
          <t>0                      W  0050000M  551s        1990</t>
        </is>
      </c>
      <c r="F493" t="inlineStr">
        <is>
          <t>Strong medicine : the ethical rationing of health care / Paul T. Menzel.</t>
        </is>
      </c>
      <c r="H493" t="inlineStr">
        <is>
          <t>No</t>
        </is>
      </c>
      <c r="I493" t="inlineStr">
        <is>
          <t>1</t>
        </is>
      </c>
      <c r="J493" t="inlineStr">
        <is>
          <t>No</t>
        </is>
      </c>
      <c r="K493" t="inlineStr">
        <is>
          <t>No</t>
        </is>
      </c>
      <c r="L493" t="inlineStr">
        <is>
          <t>0</t>
        </is>
      </c>
      <c r="M493" t="inlineStr">
        <is>
          <t>Menzel, Paul T., 1942-</t>
        </is>
      </c>
      <c r="N493" t="inlineStr">
        <is>
          <t>New York : Oxford University Press, c1990.</t>
        </is>
      </c>
      <c r="O493" t="inlineStr">
        <is>
          <t>1990</t>
        </is>
      </c>
      <c r="Q493" t="inlineStr">
        <is>
          <t>eng</t>
        </is>
      </c>
      <c r="R493" t="inlineStr">
        <is>
          <t>xxu</t>
        </is>
      </c>
      <c r="T493" t="inlineStr">
        <is>
          <t xml:space="preserve">W  </t>
        </is>
      </c>
      <c r="U493" t="n">
        <v>10</v>
      </c>
      <c r="V493" t="n">
        <v>10</v>
      </c>
      <c r="W493" t="inlineStr">
        <is>
          <t>2000-02-20</t>
        </is>
      </c>
      <c r="X493" t="inlineStr">
        <is>
          <t>2000-02-20</t>
        </is>
      </c>
      <c r="Y493" t="inlineStr">
        <is>
          <t>1990-03-22</t>
        </is>
      </c>
      <c r="Z493" t="inlineStr">
        <is>
          <t>1990-03-22</t>
        </is>
      </c>
      <c r="AA493" t="n">
        <v>754</v>
      </c>
      <c r="AB493" t="n">
        <v>649</v>
      </c>
      <c r="AC493" t="n">
        <v>654</v>
      </c>
      <c r="AD493" t="n">
        <v>2</v>
      </c>
      <c r="AE493" t="n">
        <v>2</v>
      </c>
      <c r="AF493" t="n">
        <v>35</v>
      </c>
      <c r="AG493" t="n">
        <v>35</v>
      </c>
      <c r="AH493" t="n">
        <v>10</v>
      </c>
      <c r="AI493" t="n">
        <v>10</v>
      </c>
      <c r="AJ493" t="n">
        <v>5</v>
      </c>
      <c r="AK493" t="n">
        <v>5</v>
      </c>
      <c r="AL493" t="n">
        <v>18</v>
      </c>
      <c r="AM493" t="n">
        <v>18</v>
      </c>
      <c r="AN493" t="n">
        <v>1</v>
      </c>
      <c r="AO493" t="n">
        <v>1</v>
      </c>
      <c r="AP493" t="n">
        <v>10</v>
      </c>
      <c r="AQ493" t="n">
        <v>10</v>
      </c>
      <c r="AR493" t="inlineStr">
        <is>
          <t>No</t>
        </is>
      </c>
      <c r="AS493" t="inlineStr">
        <is>
          <t>No</t>
        </is>
      </c>
      <c r="AU493">
        <f>HYPERLINK("https://creighton-primo.hosted.exlibrisgroup.com/primo-explore/search?tab=default_tab&amp;search_scope=EVERYTHING&amp;vid=01CRU&amp;lang=en_US&amp;offset=0&amp;query=any,contains,991001381599702656","Catalog Record")</f>
        <v/>
      </c>
      <c r="AV493">
        <f>HYPERLINK("http://www.worldcat.org/oclc/19971510","WorldCat Record")</f>
        <v/>
      </c>
      <c r="AW493" t="inlineStr">
        <is>
          <t>21467267:eng</t>
        </is>
      </c>
      <c r="AX493" t="inlineStr">
        <is>
          <t>19971510</t>
        </is>
      </c>
      <c r="AY493" t="inlineStr">
        <is>
          <t>991001381599702656</t>
        </is>
      </c>
      <c r="AZ493" t="inlineStr">
        <is>
          <t>991001381599702656</t>
        </is>
      </c>
      <c r="BA493" t="inlineStr">
        <is>
          <t>2260702300002656</t>
        </is>
      </c>
      <c r="BB493" t="inlineStr">
        <is>
          <t>BOOK</t>
        </is>
      </c>
      <c r="BD493" t="inlineStr">
        <is>
          <t>9780195057102</t>
        </is>
      </c>
      <c r="BE493" t="inlineStr">
        <is>
          <t>30001001798893</t>
        </is>
      </c>
      <c r="BF493" t="inlineStr">
        <is>
          <t>893451121</t>
        </is>
      </c>
    </row>
    <row r="494">
      <c r="A494" t="inlineStr">
        <is>
          <t>No</t>
        </is>
      </c>
      <c r="B494" t="inlineStr">
        <is>
          <t>CUHSL</t>
        </is>
      </c>
      <c r="C494" t="inlineStr">
        <is>
          <t>SHELVES</t>
        </is>
      </c>
      <c r="D494" t="inlineStr">
        <is>
          <t>W 50 M641c 1991</t>
        </is>
      </c>
      <c r="E494" t="inlineStr">
        <is>
          <t>0                      W  0050000M  641c        1991</t>
        </is>
      </c>
      <c r="F494" t="inlineStr">
        <is>
          <t>Can't we make moral judgements? / Mary Midgley.</t>
        </is>
      </c>
      <c r="H494" t="inlineStr">
        <is>
          <t>No</t>
        </is>
      </c>
      <c r="I494" t="inlineStr">
        <is>
          <t>1</t>
        </is>
      </c>
      <c r="J494" t="inlineStr">
        <is>
          <t>No</t>
        </is>
      </c>
      <c r="K494" t="inlineStr">
        <is>
          <t>No</t>
        </is>
      </c>
      <c r="L494" t="inlineStr">
        <is>
          <t>0</t>
        </is>
      </c>
      <c r="M494" t="inlineStr">
        <is>
          <t>Midgley, Mary, 1919-2018.</t>
        </is>
      </c>
      <c r="N494" t="inlineStr">
        <is>
          <t>New York : St. Martin's Press, c1991.</t>
        </is>
      </c>
      <c r="O494" t="inlineStr">
        <is>
          <t>1991</t>
        </is>
      </c>
      <c r="Q494" t="inlineStr">
        <is>
          <t>eng</t>
        </is>
      </c>
      <c r="R494" t="inlineStr">
        <is>
          <t>nyu</t>
        </is>
      </c>
      <c r="S494" t="inlineStr">
        <is>
          <t>Mind matters</t>
        </is>
      </c>
      <c r="T494" t="inlineStr">
        <is>
          <t xml:space="preserve">W  </t>
        </is>
      </c>
      <c r="U494" t="n">
        <v>5</v>
      </c>
      <c r="V494" t="n">
        <v>5</v>
      </c>
      <c r="W494" t="inlineStr">
        <is>
          <t>1994-03-30</t>
        </is>
      </c>
      <c r="X494" t="inlineStr">
        <is>
          <t>1994-03-30</t>
        </is>
      </c>
      <c r="Y494" t="inlineStr">
        <is>
          <t>1991-10-16</t>
        </is>
      </c>
      <c r="Z494" t="inlineStr">
        <is>
          <t>1991-10-16</t>
        </is>
      </c>
      <c r="AA494" t="n">
        <v>482</v>
      </c>
      <c r="AB494" t="n">
        <v>426</v>
      </c>
      <c r="AC494" t="n">
        <v>587</v>
      </c>
      <c r="AD494" t="n">
        <v>5</v>
      </c>
      <c r="AE494" t="n">
        <v>5</v>
      </c>
      <c r="AF494" t="n">
        <v>23</v>
      </c>
      <c r="AG494" t="n">
        <v>32</v>
      </c>
      <c r="AH494" t="n">
        <v>7</v>
      </c>
      <c r="AI494" t="n">
        <v>9</v>
      </c>
      <c r="AJ494" t="n">
        <v>8</v>
      </c>
      <c r="AK494" t="n">
        <v>11</v>
      </c>
      <c r="AL494" t="n">
        <v>11</v>
      </c>
      <c r="AM494" t="n">
        <v>17</v>
      </c>
      <c r="AN494" t="n">
        <v>4</v>
      </c>
      <c r="AO494" t="n">
        <v>4</v>
      </c>
      <c r="AP494" t="n">
        <v>0</v>
      </c>
      <c r="AQ494" t="n">
        <v>1</v>
      </c>
      <c r="AR494" t="inlineStr">
        <is>
          <t>No</t>
        </is>
      </c>
      <c r="AS494" t="inlineStr">
        <is>
          <t>No</t>
        </is>
      </c>
      <c r="AU494">
        <f>HYPERLINK("https://creighton-primo.hosted.exlibrisgroup.com/primo-explore/search?tab=default_tab&amp;search_scope=EVERYTHING&amp;vid=01CRU&amp;lang=en_US&amp;offset=0&amp;query=any,contains,991001012799702656","Catalog Record")</f>
        <v/>
      </c>
      <c r="AV494">
        <f>HYPERLINK("http://www.worldcat.org/oclc/22891711","WorldCat Record")</f>
        <v/>
      </c>
      <c r="AW494" t="inlineStr">
        <is>
          <t>24613024:eng</t>
        </is>
      </c>
      <c r="AX494" t="inlineStr">
        <is>
          <t>22891711</t>
        </is>
      </c>
      <c r="AY494" t="inlineStr">
        <is>
          <t>991001012799702656</t>
        </is>
      </c>
      <c r="AZ494" t="inlineStr">
        <is>
          <t>991001012799702656</t>
        </is>
      </c>
      <c r="BA494" t="inlineStr">
        <is>
          <t>2270086290002656</t>
        </is>
      </c>
      <c r="BB494" t="inlineStr">
        <is>
          <t>BOOK</t>
        </is>
      </c>
      <c r="BD494" t="inlineStr">
        <is>
          <t>9780312061296</t>
        </is>
      </c>
      <c r="BE494" t="inlineStr">
        <is>
          <t>30001002240069</t>
        </is>
      </c>
      <c r="BF494" t="inlineStr">
        <is>
          <t>893358138</t>
        </is>
      </c>
    </row>
    <row r="495">
      <c r="A495" t="inlineStr">
        <is>
          <t>No</t>
        </is>
      </c>
      <c r="B495" t="inlineStr">
        <is>
          <t>CUHSL</t>
        </is>
      </c>
      <c r="C495" t="inlineStr">
        <is>
          <t>SHELVES</t>
        </is>
      </c>
      <c r="D495" t="inlineStr">
        <is>
          <t>W 50 M643p 1989</t>
        </is>
      </c>
      <c r="E495" t="inlineStr">
        <is>
          <t>0                      W  0050000M  643p        1989</t>
        </is>
      </c>
      <c r="F495" t="inlineStr">
        <is>
          <t>Protocols for elective use of life-sustaining treatments : a design guide / Steven H. Miles, Carlos F. Gomez ; foreword by Christine K. Cassel.</t>
        </is>
      </c>
      <c r="H495" t="inlineStr">
        <is>
          <t>No</t>
        </is>
      </c>
      <c r="I495" t="inlineStr">
        <is>
          <t>1</t>
        </is>
      </c>
      <c r="J495" t="inlineStr">
        <is>
          <t>No</t>
        </is>
      </c>
      <c r="K495" t="inlineStr">
        <is>
          <t>No</t>
        </is>
      </c>
      <c r="L495" t="inlineStr">
        <is>
          <t>0</t>
        </is>
      </c>
      <c r="M495" t="inlineStr">
        <is>
          <t>Miles, Steven H.</t>
        </is>
      </c>
      <c r="N495" t="inlineStr">
        <is>
          <t>New York : Springer Pub. Co., c1989.</t>
        </is>
      </c>
      <c r="O495" t="inlineStr">
        <is>
          <t>1989</t>
        </is>
      </c>
      <c r="Q495" t="inlineStr">
        <is>
          <t>eng</t>
        </is>
      </c>
      <c r="R495" t="inlineStr">
        <is>
          <t>xxu</t>
        </is>
      </c>
      <c r="T495" t="inlineStr">
        <is>
          <t xml:space="preserve">W  </t>
        </is>
      </c>
      <c r="U495" t="n">
        <v>4</v>
      </c>
      <c r="V495" t="n">
        <v>4</v>
      </c>
      <c r="W495" t="inlineStr">
        <is>
          <t>1998-12-14</t>
        </is>
      </c>
      <c r="X495" t="inlineStr">
        <is>
          <t>1998-12-14</t>
        </is>
      </c>
      <c r="Y495" t="inlineStr">
        <is>
          <t>1989-09-09</t>
        </is>
      </c>
      <c r="Z495" t="inlineStr">
        <is>
          <t>1989-09-09</t>
        </is>
      </c>
      <c r="AA495" t="n">
        <v>223</v>
      </c>
      <c r="AB495" t="n">
        <v>202</v>
      </c>
      <c r="AC495" t="n">
        <v>222</v>
      </c>
      <c r="AD495" t="n">
        <v>1</v>
      </c>
      <c r="AE495" t="n">
        <v>1</v>
      </c>
      <c r="AF495" t="n">
        <v>9</v>
      </c>
      <c r="AG495" t="n">
        <v>9</v>
      </c>
      <c r="AH495" t="n">
        <v>1</v>
      </c>
      <c r="AI495" t="n">
        <v>1</v>
      </c>
      <c r="AJ495" t="n">
        <v>2</v>
      </c>
      <c r="AK495" t="n">
        <v>2</v>
      </c>
      <c r="AL495" t="n">
        <v>8</v>
      </c>
      <c r="AM495" t="n">
        <v>8</v>
      </c>
      <c r="AN495" t="n">
        <v>0</v>
      </c>
      <c r="AO495" t="n">
        <v>0</v>
      </c>
      <c r="AP495" t="n">
        <v>1</v>
      </c>
      <c r="AQ495" t="n">
        <v>1</v>
      </c>
      <c r="AR495" t="inlineStr">
        <is>
          <t>No</t>
        </is>
      </c>
      <c r="AS495" t="inlineStr">
        <is>
          <t>Yes</t>
        </is>
      </c>
      <c r="AT495">
        <f>HYPERLINK("http://catalog.hathitrust.org/Record/001093184","HathiTrust Record")</f>
        <v/>
      </c>
      <c r="AU495">
        <f>HYPERLINK("https://creighton-primo.hosted.exlibrisgroup.com/primo-explore/search?tab=default_tab&amp;search_scope=EVERYTHING&amp;vid=01CRU&amp;lang=en_US&amp;offset=0&amp;query=any,contains,991001316979702656","Catalog Record")</f>
        <v/>
      </c>
      <c r="AV495">
        <f>HYPERLINK("http://www.worldcat.org/oclc/18907147","WorldCat Record")</f>
        <v/>
      </c>
      <c r="AW495" t="inlineStr">
        <is>
          <t>967685:eng</t>
        </is>
      </c>
      <c r="AX495" t="inlineStr">
        <is>
          <t>18907147</t>
        </is>
      </c>
      <c r="AY495" t="inlineStr">
        <is>
          <t>991001316979702656</t>
        </is>
      </c>
      <c r="AZ495" t="inlineStr">
        <is>
          <t>991001316979702656</t>
        </is>
      </c>
      <c r="BA495" t="inlineStr">
        <is>
          <t>2268694350002656</t>
        </is>
      </c>
      <c r="BB495" t="inlineStr">
        <is>
          <t>BOOK</t>
        </is>
      </c>
      <c r="BD495" t="inlineStr">
        <is>
          <t>9780826167002</t>
        </is>
      </c>
      <c r="BE495" t="inlineStr">
        <is>
          <t>30001001753146</t>
        </is>
      </c>
      <c r="BF495" t="inlineStr">
        <is>
          <t>893268357</t>
        </is>
      </c>
    </row>
    <row r="496">
      <c r="A496" t="inlineStr">
        <is>
          <t>No</t>
        </is>
      </c>
      <c r="B496" t="inlineStr">
        <is>
          <t>CUHSL</t>
        </is>
      </c>
      <c r="C496" t="inlineStr">
        <is>
          <t>SHELVES</t>
        </is>
      </c>
      <c r="D496" t="inlineStr">
        <is>
          <t>W 50 M734h 1998</t>
        </is>
      </c>
      <c r="E496" t="inlineStr">
        <is>
          <t>0                      W  0050000M  734h        1998</t>
        </is>
      </c>
      <c r="F496" t="inlineStr">
        <is>
          <t>Health care ethics : critical issues for the 21st century / John F. Monagle, David C. Thomasma.</t>
        </is>
      </c>
      <c r="H496" t="inlineStr">
        <is>
          <t>No</t>
        </is>
      </c>
      <c r="I496" t="inlineStr">
        <is>
          <t>1</t>
        </is>
      </c>
      <c r="J496" t="inlineStr">
        <is>
          <t>No</t>
        </is>
      </c>
      <c r="K496" t="inlineStr">
        <is>
          <t>Yes</t>
        </is>
      </c>
      <c r="L496" t="inlineStr">
        <is>
          <t>0</t>
        </is>
      </c>
      <c r="M496" t="inlineStr">
        <is>
          <t>Monagle, John F.</t>
        </is>
      </c>
      <c r="N496" t="inlineStr">
        <is>
          <t>Gaithersburg, Md. : Aspen Publishers, c1998.</t>
        </is>
      </c>
      <c r="O496" t="inlineStr">
        <is>
          <t>1998</t>
        </is>
      </c>
      <c r="Q496" t="inlineStr">
        <is>
          <t>eng</t>
        </is>
      </c>
      <c r="R496" t="inlineStr">
        <is>
          <t>mdu</t>
        </is>
      </c>
      <c r="T496" t="inlineStr">
        <is>
          <t xml:space="preserve">W  </t>
        </is>
      </c>
      <c r="U496" t="n">
        <v>17</v>
      </c>
      <c r="V496" t="n">
        <v>17</v>
      </c>
      <c r="W496" t="inlineStr">
        <is>
          <t>2005-11-21</t>
        </is>
      </c>
      <c r="X496" t="inlineStr">
        <is>
          <t>2005-11-21</t>
        </is>
      </c>
      <c r="Y496" t="inlineStr">
        <is>
          <t>1997-10-28</t>
        </is>
      </c>
      <c r="Z496" t="inlineStr">
        <is>
          <t>1997-10-28</t>
        </is>
      </c>
      <c r="AA496" t="n">
        <v>451</v>
      </c>
      <c r="AB496" t="n">
        <v>398</v>
      </c>
      <c r="AC496" t="n">
        <v>608</v>
      </c>
      <c r="AD496" t="n">
        <v>3</v>
      </c>
      <c r="AE496" t="n">
        <v>3</v>
      </c>
      <c r="AF496" t="n">
        <v>20</v>
      </c>
      <c r="AG496" t="n">
        <v>32</v>
      </c>
      <c r="AH496" t="n">
        <v>8</v>
      </c>
      <c r="AI496" t="n">
        <v>13</v>
      </c>
      <c r="AJ496" t="n">
        <v>6</v>
      </c>
      <c r="AK496" t="n">
        <v>8</v>
      </c>
      <c r="AL496" t="n">
        <v>11</v>
      </c>
      <c r="AM496" t="n">
        <v>17</v>
      </c>
      <c r="AN496" t="n">
        <v>2</v>
      </c>
      <c r="AO496" t="n">
        <v>2</v>
      </c>
      <c r="AP496" t="n">
        <v>2</v>
      </c>
      <c r="AQ496" t="n">
        <v>4</v>
      </c>
      <c r="AR496" t="inlineStr">
        <is>
          <t>No</t>
        </is>
      </c>
      <c r="AS496" t="inlineStr">
        <is>
          <t>Yes</t>
        </is>
      </c>
      <c r="AT496">
        <f>HYPERLINK("http://catalog.hathitrust.org/Record/003196491","HathiTrust Record")</f>
        <v/>
      </c>
      <c r="AU496">
        <f>HYPERLINK("https://creighton-primo.hosted.exlibrisgroup.com/primo-explore/search?tab=default_tab&amp;search_scope=EVERYTHING&amp;vid=01CRU&amp;lang=en_US&amp;offset=0&amp;query=any,contains,991001198209702656","Catalog Record")</f>
        <v/>
      </c>
      <c r="AV496">
        <f>HYPERLINK("http://www.worldcat.org/oclc/37109188","WorldCat Record")</f>
        <v/>
      </c>
      <c r="AW496" t="inlineStr">
        <is>
          <t>630639:eng</t>
        </is>
      </c>
      <c r="AX496" t="inlineStr">
        <is>
          <t>37109188</t>
        </is>
      </c>
      <c r="AY496" t="inlineStr">
        <is>
          <t>991001198209702656</t>
        </is>
      </c>
      <c r="AZ496" t="inlineStr">
        <is>
          <t>991001198209702656</t>
        </is>
      </c>
      <c r="BA496" t="inlineStr">
        <is>
          <t>2265266160002656</t>
        </is>
      </c>
      <c r="BB496" t="inlineStr">
        <is>
          <t>BOOK</t>
        </is>
      </c>
      <c r="BD496" t="inlineStr">
        <is>
          <t>9780834209114</t>
        </is>
      </c>
      <c r="BE496" t="inlineStr">
        <is>
          <t>30001003653500</t>
        </is>
      </c>
      <c r="BF496" t="inlineStr">
        <is>
          <t>893369213</t>
        </is>
      </c>
    </row>
    <row r="497">
      <c r="A497" t="inlineStr">
        <is>
          <t>No</t>
        </is>
      </c>
      <c r="B497" t="inlineStr">
        <is>
          <t>CUHSL</t>
        </is>
      </c>
      <c r="C497" t="inlineStr">
        <is>
          <t>SHELVES</t>
        </is>
      </c>
      <c r="D497" t="inlineStr">
        <is>
          <t>W 50 M822 1983</t>
        </is>
      </c>
      <c r="E497" t="inlineStr">
        <is>
          <t>0                      W  0050000M  822         1983</t>
        </is>
      </c>
      <c r="F497" t="inlineStr">
        <is>
          <t>Moral problems in medicine / edited, with introductions, by Samuel Gorovitz ... [et al.].</t>
        </is>
      </c>
      <c r="H497" t="inlineStr">
        <is>
          <t>No</t>
        </is>
      </c>
      <c r="I497" t="inlineStr">
        <is>
          <t>1</t>
        </is>
      </c>
      <c r="J497" t="inlineStr">
        <is>
          <t>No</t>
        </is>
      </c>
      <c r="K497" t="inlineStr">
        <is>
          <t>Yes</t>
        </is>
      </c>
      <c r="L497" t="inlineStr">
        <is>
          <t>0</t>
        </is>
      </c>
      <c r="N497" t="inlineStr">
        <is>
          <t>Englewood Cliffs, N.J. : Prentice-Hall, c1983.</t>
        </is>
      </c>
      <c r="O497" t="inlineStr">
        <is>
          <t>1983</t>
        </is>
      </c>
      <c r="P497" t="inlineStr">
        <is>
          <t>2nd ed.</t>
        </is>
      </c>
      <c r="Q497" t="inlineStr">
        <is>
          <t>eng</t>
        </is>
      </c>
      <c r="R497" t="inlineStr">
        <is>
          <t>xxu</t>
        </is>
      </c>
      <c r="T497" t="inlineStr">
        <is>
          <t xml:space="preserve">W  </t>
        </is>
      </c>
      <c r="U497" t="n">
        <v>48</v>
      </c>
      <c r="V497" t="n">
        <v>48</v>
      </c>
      <c r="W497" t="inlineStr">
        <is>
          <t>2001-04-05</t>
        </is>
      </c>
      <c r="X497" t="inlineStr">
        <is>
          <t>2001-04-05</t>
        </is>
      </c>
      <c r="Y497" t="inlineStr">
        <is>
          <t>1987-10-02</t>
        </is>
      </c>
      <c r="Z497" t="inlineStr">
        <is>
          <t>1987-10-02</t>
        </is>
      </c>
      <c r="AA497" t="n">
        <v>346</v>
      </c>
      <c r="AB497" t="n">
        <v>259</v>
      </c>
      <c r="AC497" t="n">
        <v>771</v>
      </c>
      <c r="AD497" t="n">
        <v>2</v>
      </c>
      <c r="AE497" t="n">
        <v>6</v>
      </c>
      <c r="AF497" t="n">
        <v>22</v>
      </c>
      <c r="AG497" t="n">
        <v>38</v>
      </c>
      <c r="AH497" t="n">
        <v>6</v>
      </c>
      <c r="AI497" t="n">
        <v>12</v>
      </c>
      <c r="AJ497" t="n">
        <v>2</v>
      </c>
      <c r="AK497" t="n">
        <v>5</v>
      </c>
      <c r="AL497" t="n">
        <v>15</v>
      </c>
      <c r="AM497" t="n">
        <v>20</v>
      </c>
      <c r="AN497" t="n">
        <v>0</v>
      </c>
      <c r="AO497" t="n">
        <v>3</v>
      </c>
      <c r="AP497" t="n">
        <v>6</v>
      </c>
      <c r="AQ497" t="n">
        <v>7</v>
      </c>
      <c r="AR497" t="inlineStr">
        <is>
          <t>No</t>
        </is>
      </c>
      <c r="AS497" t="inlineStr">
        <is>
          <t>No</t>
        </is>
      </c>
      <c r="AU497">
        <f>HYPERLINK("https://creighton-primo.hosted.exlibrisgroup.com/primo-explore/search?tab=default_tab&amp;search_scope=EVERYTHING&amp;vid=01CRU&amp;lang=en_US&amp;offset=0&amp;query=any,contains,991001168459702656","Catalog Record")</f>
        <v/>
      </c>
      <c r="AV497">
        <f>HYPERLINK("http://www.worldcat.org/oclc/9084535","WorldCat Record")</f>
        <v/>
      </c>
      <c r="AW497" t="inlineStr">
        <is>
          <t>54096416:eng</t>
        </is>
      </c>
      <c r="AX497" t="inlineStr">
        <is>
          <t>9084535</t>
        </is>
      </c>
      <c r="AY497" t="inlineStr">
        <is>
          <t>991001168459702656</t>
        </is>
      </c>
      <c r="AZ497" t="inlineStr">
        <is>
          <t>991001168459702656</t>
        </is>
      </c>
      <c r="BA497" t="inlineStr">
        <is>
          <t>2266483040002656</t>
        </is>
      </c>
      <c r="BB497" t="inlineStr">
        <is>
          <t>BOOK</t>
        </is>
      </c>
      <c r="BD497" t="inlineStr">
        <is>
          <t>9780136007425</t>
        </is>
      </c>
      <c r="BE497" t="inlineStr">
        <is>
          <t>30001000305997</t>
        </is>
      </c>
      <c r="BF497" t="inlineStr">
        <is>
          <t>893541082</t>
        </is>
      </c>
    </row>
    <row r="498">
      <c r="A498" t="inlineStr">
        <is>
          <t>No</t>
        </is>
      </c>
      <c r="B498" t="inlineStr">
        <is>
          <t>CUHSL</t>
        </is>
      </c>
      <c r="C498" t="inlineStr">
        <is>
          <t>SHELVES</t>
        </is>
      </c>
      <c r="D498" t="inlineStr">
        <is>
          <t>W 50 M8275 1985</t>
        </is>
      </c>
      <c r="E498" t="inlineStr">
        <is>
          <t>0                      W  0050000M  8275        1985</t>
        </is>
      </c>
      <c r="F498" t="inlineStr">
        <is>
          <t>Moral dilemmas in modern medicine / edited by Michael Lockwood.</t>
        </is>
      </c>
      <c r="H498" t="inlineStr">
        <is>
          <t>No</t>
        </is>
      </c>
      <c r="I498" t="inlineStr">
        <is>
          <t>1</t>
        </is>
      </c>
      <c r="J498" t="inlineStr">
        <is>
          <t>Yes</t>
        </is>
      </c>
      <c r="K498" t="inlineStr">
        <is>
          <t>No</t>
        </is>
      </c>
      <c r="L498" t="inlineStr">
        <is>
          <t>0</t>
        </is>
      </c>
      <c r="N498" t="inlineStr">
        <is>
          <t>Oxford ; New York : Oxford University Press, c1985.</t>
        </is>
      </c>
      <c r="O498" t="inlineStr">
        <is>
          <t>1985</t>
        </is>
      </c>
      <c r="Q498" t="inlineStr">
        <is>
          <t>eng</t>
        </is>
      </c>
      <c r="R498" t="inlineStr">
        <is>
          <t>enk</t>
        </is>
      </c>
      <c r="S498" t="inlineStr">
        <is>
          <t>Studies in bioethics</t>
        </is>
      </c>
      <c r="T498" t="inlineStr">
        <is>
          <t xml:space="preserve">W  </t>
        </is>
      </c>
      <c r="U498" t="n">
        <v>17</v>
      </c>
      <c r="V498" t="n">
        <v>17</v>
      </c>
      <c r="W498" t="inlineStr">
        <is>
          <t>1994-11-11</t>
        </is>
      </c>
      <c r="X498" t="inlineStr">
        <is>
          <t>1994-11-11</t>
        </is>
      </c>
      <c r="Y498" t="inlineStr">
        <is>
          <t>1987-10-02</t>
        </is>
      </c>
      <c r="Z498" t="inlineStr">
        <is>
          <t>1987-10-02</t>
        </is>
      </c>
      <c r="AA498" t="n">
        <v>531</v>
      </c>
      <c r="AB498" t="n">
        <v>365</v>
      </c>
      <c r="AC498" t="n">
        <v>390</v>
      </c>
      <c r="AD498" t="n">
        <v>3</v>
      </c>
      <c r="AE498" t="n">
        <v>3</v>
      </c>
      <c r="AF498" t="n">
        <v>25</v>
      </c>
      <c r="AG498" t="n">
        <v>26</v>
      </c>
      <c r="AH498" t="n">
        <v>9</v>
      </c>
      <c r="AI498" t="n">
        <v>9</v>
      </c>
      <c r="AJ498" t="n">
        <v>3</v>
      </c>
      <c r="AK498" t="n">
        <v>4</v>
      </c>
      <c r="AL498" t="n">
        <v>10</v>
      </c>
      <c r="AM498" t="n">
        <v>11</v>
      </c>
      <c r="AN498" t="n">
        <v>0</v>
      </c>
      <c r="AO498" t="n">
        <v>0</v>
      </c>
      <c r="AP498" t="n">
        <v>8</v>
      </c>
      <c r="AQ498" t="n">
        <v>8</v>
      </c>
      <c r="AR498" t="inlineStr">
        <is>
          <t>No</t>
        </is>
      </c>
      <c r="AS498" t="inlineStr">
        <is>
          <t>Yes</t>
        </is>
      </c>
      <c r="AT498">
        <f>HYPERLINK("http://catalog.hathitrust.org/Record/000386723","HathiTrust Record")</f>
        <v/>
      </c>
      <c r="AU498">
        <f>HYPERLINK("https://creighton-primo.hosted.exlibrisgroup.com/primo-explore/search?tab=default_tab&amp;search_scope=EVERYTHING&amp;vid=01CRU&amp;lang=en_US&amp;offset=0&amp;query=any,contains,991001168319702656","Catalog Record")</f>
        <v/>
      </c>
      <c r="AV498">
        <f>HYPERLINK("http://www.worldcat.org/oclc/11784521","WorldCat Record")</f>
        <v/>
      </c>
      <c r="AW498" t="inlineStr">
        <is>
          <t>54699345:eng</t>
        </is>
      </c>
      <c r="AX498" t="inlineStr">
        <is>
          <t>11784521</t>
        </is>
      </c>
      <c r="AY498" t="inlineStr">
        <is>
          <t>991001168319702656</t>
        </is>
      </c>
      <c r="AZ498" t="inlineStr">
        <is>
          <t>991001168319702656</t>
        </is>
      </c>
      <c r="BA498" t="inlineStr">
        <is>
          <t>2255262420002656</t>
        </is>
      </c>
      <c r="BB498" t="inlineStr">
        <is>
          <t>BOOK</t>
        </is>
      </c>
      <c r="BD498" t="inlineStr">
        <is>
          <t>9780192177438</t>
        </is>
      </c>
      <c r="BE498" t="inlineStr">
        <is>
          <t>30001000305955</t>
        </is>
      </c>
      <c r="BF498" t="inlineStr">
        <is>
          <t>893273836</t>
        </is>
      </c>
    </row>
    <row r="499">
      <c r="A499" t="inlineStr">
        <is>
          <t>No</t>
        </is>
      </c>
      <c r="B499" t="inlineStr">
        <is>
          <t>CUHSL</t>
        </is>
      </c>
      <c r="C499" t="inlineStr">
        <is>
          <t>SHELVES</t>
        </is>
      </c>
      <c r="D499" t="inlineStr">
        <is>
          <t>W 50 M828 1970</t>
        </is>
      </c>
      <c r="E499" t="inlineStr">
        <is>
          <t>0                      W  0050000M  828         1970</t>
        </is>
      </c>
      <c r="F499" t="inlineStr">
        <is>
          <t>Morals and medicine : [five discussions from the BBC Third Programme / edited by Archie Clow.]</t>
        </is>
      </c>
      <c r="H499" t="inlineStr">
        <is>
          <t>No</t>
        </is>
      </c>
      <c r="I499" t="inlineStr">
        <is>
          <t>1</t>
        </is>
      </c>
      <c r="J499" t="inlineStr">
        <is>
          <t>No</t>
        </is>
      </c>
      <c r="K499" t="inlineStr">
        <is>
          <t>No</t>
        </is>
      </c>
      <c r="L499" t="inlineStr">
        <is>
          <t>0</t>
        </is>
      </c>
      <c r="N499" t="inlineStr">
        <is>
          <t>New York : Oxford University Press, 1971 [c1970]</t>
        </is>
      </c>
      <c r="O499" t="inlineStr">
        <is>
          <t>1971</t>
        </is>
      </c>
      <c r="Q499" t="inlineStr">
        <is>
          <t>eng</t>
        </is>
      </c>
      <c r="R499" t="inlineStr">
        <is>
          <t>nyu</t>
        </is>
      </c>
      <c r="T499" t="inlineStr">
        <is>
          <t xml:space="preserve">W  </t>
        </is>
      </c>
      <c r="U499" t="n">
        <v>5</v>
      </c>
      <c r="V499" t="n">
        <v>5</v>
      </c>
      <c r="W499" t="inlineStr">
        <is>
          <t>1997-02-11</t>
        </is>
      </c>
      <c r="X499" t="inlineStr">
        <is>
          <t>1997-02-11</t>
        </is>
      </c>
      <c r="Y499" t="inlineStr">
        <is>
          <t>1987-10-07</t>
        </is>
      </c>
      <c r="Z499" t="inlineStr">
        <is>
          <t>1987-10-07</t>
        </is>
      </c>
      <c r="AA499" t="n">
        <v>135</v>
      </c>
      <c r="AB499" t="n">
        <v>125</v>
      </c>
      <c r="AC499" t="n">
        <v>162</v>
      </c>
      <c r="AD499" t="n">
        <v>1</v>
      </c>
      <c r="AE499" t="n">
        <v>1</v>
      </c>
      <c r="AF499" t="n">
        <v>5</v>
      </c>
      <c r="AG499" t="n">
        <v>5</v>
      </c>
      <c r="AH499" t="n">
        <v>2</v>
      </c>
      <c r="AI499" t="n">
        <v>2</v>
      </c>
      <c r="AJ499" t="n">
        <v>0</v>
      </c>
      <c r="AK499" t="n">
        <v>0</v>
      </c>
      <c r="AL499" t="n">
        <v>5</v>
      </c>
      <c r="AM499" t="n">
        <v>5</v>
      </c>
      <c r="AN499" t="n">
        <v>0</v>
      </c>
      <c r="AO499" t="n">
        <v>0</v>
      </c>
      <c r="AP499" t="n">
        <v>0</v>
      </c>
      <c r="AQ499" t="n">
        <v>0</v>
      </c>
      <c r="AR499" t="inlineStr">
        <is>
          <t>No</t>
        </is>
      </c>
      <c r="AS499" t="inlineStr">
        <is>
          <t>No</t>
        </is>
      </c>
      <c r="AU499">
        <f>HYPERLINK("https://creighton-primo.hosted.exlibrisgroup.com/primo-explore/search?tab=default_tab&amp;search_scope=EVERYTHING&amp;vid=01CRU&amp;lang=en_US&amp;offset=0&amp;query=any,contains,991001168429702656","Catalog Record")</f>
        <v/>
      </c>
      <c r="AV499">
        <f>HYPERLINK("http://www.worldcat.org/oclc/163760","WorldCat Record")</f>
        <v/>
      </c>
      <c r="AW499" t="inlineStr">
        <is>
          <t>1173461856:eng</t>
        </is>
      </c>
      <c r="AX499" t="inlineStr">
        <is>
          <t>163760</t>
        </is>
      </c>
      <c r="AY499" t="inlineStr">
        <is>
          <t>991001168429702656</t>
        </is>
      </c>
      <c r="AZ499" t="inlineStr">
        <is>
          <t>991001168429702656</t>
        </is>
      </c>
      <c r="BA499" t="inlineStr">
        <is>
          <t>2272199980002656</t>
        </is>
      </c>
      <c r="BB499" t="inlineStr">
        <is>
          <t>BOOK</t>
        </is>
      </c>
      <c r="BD499" t="inlineStr">
        <is>
          <t>9780195191431</t>
        </is>
      </c>
      <c r="BE499" t="inlineStr">
        <is>
          <t>30001000305989</t>
        </is>
      </c>
      <c r="BF499" t="inlineStr">
        <is>
          <t>893541081</t>
        </is>
      </c>
    </row>
    <row r="500">
      <c r="A500" t="inlineStr">
        <is>
          <t>No</t>
        </is>
      </c>
      <c r="B500" t="inlineStr">
        <is>
          <t>CUHSL</t>
        </is>
      </c>
      <c r="C500" t="inlineStr">
        <is>
          <t>SHELVES</t>
        </is>
      </c>
      <c r="D500" t="inlineStr">
        <is>
          <t>W 50 M843d 1995</t>
        </is>
      </c>
      <c r="E500" t="inlineStr">
        <is>
          <t>0                      W  0050000M  843d        1995</t>
        </is>
      </c>
      <c r="F500" t="inlineStr">
        <is>
          <t>Deciding together : bioethics and moral consensus / Jonathan D. Moreno.</t>
        </is>
      </c>
      <c r="H500" t="inlineStr">
        <is>
          <t>No</t>
        </is>
      </c>
      <c r="I500" t="inlineStr">
        <is>
          <t>1</t>
        </is>
      </c>
      <c r="J500" t="inlineStr">
        <is>
          <t>No</t>
        </is>
      </c>
      <c r="K500" t="inlineStr">
        <is>
          <t>No</t>
        </is>
      </c>
      <c r="L500" t="inlineStr">
        <is>
          <t>0</t>
        </is>
      </c>
      <c r="M500" t="inlineStr">
        <is>
          <t>Moreno, Jonathan D.</t>
        </is>
      </c>
      <c r="N500" t="inlineStr">
        <is>
          <t>New York : Oxford University Press, c1995.</t>
        </is>
      </c>
      <c r="O500" t="inlineStr">
        <is>
          <t>1995</t>
        </is>
      </c>
      <c r="Q500" t="inlineStr">
        <is>
          <t>eng</t>
        </is>
      </c>
      <c r="R500" t="inlineStr">
        <is>
          <t>nyu</t>
        </is>
      </c>
      <c r="T500" t="inlineStr">
        <is>
          <t xml:space="preserve">W  </t>
        </is>
      </c>
      <c r="U500" t="n">
        <v>18</v>
      </c>
      <c r="V500" t="n">
        <v>18</v>
      </c>
      <c r="W500" t="inlineStr">
        <is>
          <t>2003-04-17</t>
        </is>
      </c>
      <c r="X500" t="inlineStr">
        <is>
          <t>2003-04-17</t>
        </is>
      </c>
      <c r="Y500" t="inlineStr">
        <is>
          <t>1995-12-11</t>
        </is>
      </c>
      <c r="Z500" t="inlineStr">
        <is>
          <t>1995-12-11</t>
        </is>
      </c>
      <c r="AA500" t="n">
        <v>418</v>
      </c>
      <c r="AB500" t="n">
        <v>335</v>
      </c>
      <c r="AC500" t="n">
        <v>337</v>
      </c>
      <c r="AD500" t="n">
        <v>1</v>
      </c>
      <c r="AE500" t="n">
        <v>1</v>
      </c>
      <c r="AF500" t="n">
        <v>21</v>
      </c>
      <c r="AG500" t="n">
        <v>21</v>
      </c>
      <c r="AH500" t="n">
        <v>6</v>
      </c>
      <c r="AI500" t="n">
        <v>6</v>
      </c>
      <c r="AJ500" t="n">
        <v>6</v>
      </c>
      <c r="AK500" t="n">
        <v>6</v>
      </c>
      <c r="AL500" t="n">
        <v>13</v>
      </c>
      <c r="AM500" t="n">
        <v>13</v>
      </c>
      <c r="AN500" t="n">
        <v>0</v>
      </c>
      <c r="AO500" t="n">
        <v>0</v>
      </c>
      <c r="AP500" t="n">
        <v>3</v>
      </c>
      <c r="AQ500" t="n">
        <v>3</v>
      </c>
      <c r="AR500" t="inlineStr">
        <is>
          <t>No</t>
        </is>
      </c>
      <c r="AS500" t="inlineStr">
        <is>
          <t>Yes</t>
        </is>
      </c>
      <c r="AT500">
        <f>HYPERLINK("http://catalog.hathitrust.org/Record/002969711","HathiTrust Record")</f>
        <v/>
      </c>
      <c r="AU500">
        <f>HYPERLINK("https://creighton-primo.hosted.exlibrisgroup.com/primo-explore/search?tab=default_tab&amp;search_scope=EVERYTHING&amp;vid=01CRU&amp;lang=en_US&amp;offset=0&amp;query=any,contains,991001500519702656","Catalog Record")</f>
        <v/>
      </c>
      <c r="AV500">
        <f>HYPERLINK("http://www.worldcat.org/oclc/30810822","WorldCat Record")</f>
        <v/>
      </c>
      <c r="AW500" t="inlineStr">
        <is>
          <t>32697985:eng</t>
        </is>
      </c>
      <c r="AX500" t="inlineStr">
        <is>
          <t>30810822</t>
        </is>
      </c>
      <c r="AY500" t="inlineStr">
        <is>
          <t>991001500519702656</t>
        </is>
      </c>
      <c r="AZ500" t="inlineStr">
        <is>
          <t>991001500519702656</t>
        </is>
      </c>
      <c r="BA500" t="inlineStr">
        <is>
          <t>2269469950002656</t>
        </is>
      </c>
      <c r="BB500" t="inlineStr">
        <is>
          <t>BOOK</t>
        </is>
      </c>
      <c r="BD500" t="inlineStr">
        <is>
          <t>9780195092189</t>
        </is>
      </c>
      <c r="BE500" t="inlineStr">
        <is>
          <t>30001003262427</t>
        </is>
      </c>
      <c r="BF500" t="inlineStr">
        <is>
          <t>893826803</t>
        </is>
      </c>
    </row>
    <row r="501">
      <c r="A501" t="inlineStr">
        <is>
          <t>No</t>
        </is>
      </c>
      <c r="B501" t="inlineStr">
        <is>
          <t>CUHSL</t>
        </is>
      </c>
      <c r="C501" t="inlineStr">
        <is>
          <t>SHELVES</t>
        </is>
      </c>
      <c r="D501" t="inlineStr">
        <is>
          <t>W 50 N277t 1972</t>
        </is>
      </c>
      <c r="E501" t="inlineStr">
        <is>
          <t>0                      W  0050000N  277t        1972</t>
        </is>
      </c>
      <c r="F501" t="inlineStr">
        <is>
          <t>The teaching of medical ethics : proceedings of a conference sponsored by the Institute of Society, Ethics and the Life Sciences and Columbia University College of Physicians and Surgeons, June 1-3, 1972 / edited by Robert M. Veatch, Willard Gaylin and Councilman Morgan.</t>
        </is>
      </c>
      <c r="H501" t="inlineStr">
        <is>
          <t>No</t>
        </is>
      </c>
      <c r="I501" t="inlineStr">
        <is>
          <t>1</t>
        </is>
      </c>
      <c r="J501" t="inlineStr">
        <is>
          <t>No</t>
        </is>
      </c>
      <c r="K501" t="inlineStr">
        <is>
          <t>No</t>
        </is>
      </c>
      <c r="L501" t="inlineStr">
        <is>
          <t>0</t>
        </is>
      </c>
      <c r="M501" t="inlineStr">
        <is>
          <t>National Conference on the Teaching of Medical Ethics (1972 : Hastings on Hudson, N.Y.)</t>
        </is>
      </c>
      <c r="N501" t="inlineStr">
        <is>
          <t>Hastings-on-Hudson, N.Y. : Institute of Society, Ethics and the Life Sciences, c1973.</t>
        </is>
      </c>
      <c r="O501" t="inlineStr">
        <is>
          <t>1973</t>
        </is>
      </c>
      <c r="Q501" t="inlineStr">
        <is>
          <t>eng</t>
        </is>
      </c>
      <c r="R501" t="inlineStr">
        <is>
          <t>nyu</t>
        </is>
      </c>
      <c r="S501" t="inlineStr">
        <is>
          <t>A Hastings Center publication</t>
        </is>
      </c>
      <c r="T501" t="inlineStr">
        <is>
          <t xml:space="preserve">W  </t>
        </is>
      </c>
      <c r="U501" t="n">
        <v>12</v>
      </c>
      <c r="V501" t="n">
        <v>12</v>
      </c>
      <c r="W501" t="inlineStr">
        <is>
          <t>1999-05-23</t>
        </is>
      </c>
      <c r="X501" t="inlineStr">
        <is>
          <t>1999-05-23</t>
        </is>
      </c>
      <c r="Y501" t="inlineStr">
        <is>
          <t>1987-10-08</t>
        </is>
      </c>
      <c r="Z501" t="inlineStr">
        <is>
          <t>1987-10-08</t>
        </is>
      </c>
      <c r="AA501" t="n">
        <v>138</v>
      </c>
      <c r="AB501" t="n">
        <v>125</v>
      </c>
      <c r="AC501" t="n">
        <v>150</v>
      </c>
      <c r="AD501" t="n">
        <v>1</v>
      </c>
      <c r="AE501" t="n">
        <v>1</v>
      </c>
      <c r="AF501" t="n">
        <v>13</v>
      </c>
      <c r="AG501" t="n">
        <v>14</v>
      </c>
      <c r="AH501" t="n">
        <v>2</v>
      </c>
      <c r="AI501" t="n">
        <v>3</v>
      </c>
      <c r="AJ501" t="n">
        <v>4</v>
      </c>
      <c r="AK501" t="n">
        <v>5</v>
      </c>
      <c r="AL501" t="n">
        <v>10</v>
      </c>
      <c r="AM501" t="n">
        <v>10</v>
      </c>
      <c r="AN501" t="n">
        <v>0</v>
      </c>
      <c r="AO501" t="n">
        <v>0</v>
      </c>
      <c r="AP501" t="n">
        <v>0</v>
      </c>
      <c r="AQ501" t="n">
        <v>0</v>
      </c>
      <c r="AR501" t="inlineStr">
        <is>
          <t>No</t>
        </is>
      </c>
      <c r="AS501" t="inlineStr">
        <is>
          <t>Yes</t>
        </is>
      </c>
      <c r="AT501">
        <f>HYPERLINK("http://catalog.hathitrust.org/Record/003880424","HathiTrust Record")</f>
        <v/>
      </c>
      <c r="AU501">
        <f>HYPERLINK("https://creighton-primo.hosted.exlibrisgroup.com/primo-explore/search?tab=default_tab&amp;search_scope=EVERYTHING&amp;vid=01CRU&amp;lang=en_US&amp;offset=0&amp;query=any,contains,991001168279702656","Catalog Record")</f>
        <v/>
      </c>
      <c r="AV501">
        <f>HYPERLINK("http://www.worldcat.org/oclc/14428977","WorldCat Record")</f>
        <v/>
      </c>
      <c r="AW501" t="inlineStr">
        <is>
          <t>477714316:eng</t>
        </is>
      </c>
      <c r="AX501" t="inlineStr">
        <is>
          <t>14428977</t>
        </is>
      </c>
      <c r="AY501" t="inlineStr">
        <is>
          <t>991001168279702656</t>
        </is>
      </c>
      <c r="AZ501" t="inlineStr">
        <is>
          <t>991001168279702656</t>
        </is>
      </c>
      <c r="BA501" t="inlineStr">
        <is>
          <t>2256504120002656</t>
        </is>
      </c>
      <c r="BB501" t="inlineStr">
        <is>
          <t>BOOK</t>
        </is>
      </c>
      <c r="BE501" t="inlineStr">
        <is>
          <t>30001000305948</t>
        </is>
      </c>
      <c r="BF501" t="inlineStr">
        <is>
          <t>893638089</t>
        </is>
      </c>
    </row>
    <row r="502">
      <c r="A502" t="inlineStr">
        <is>
          <t>No</t>
        </is>
      </c>
      <c r="B502" t="inlineStr">
        <is>
          <t>CUHSL</t>
        </is>
      </c>
      <c r="C502" t="inlineStr">
        <is>
          <t>SHELVES</t>
        </is>
      </c>
      <c r="D502" t="inlineStr">
        <is>
          <t>W 50 O58 1987</t>
        </is>
      </c>
      <c r="E502" t="inlineStr">
        <is>
          <t>0                      W  0050000O  58          1987</t>
        </is>
      </c>
      <c r="F502" t="inlineStr">
        <is>
          <t>On moral medicine : theological perspectives in medical ethics / edited by Stephen E. Lammers, Allen Verhey.</t>
        </is>
      </c>
      <c r="H502" t="inlineStr">
        <is>
          <t>No</t>
        </is>
      </c>
      <c r="I502" t="inlineStr">
        <is>
          <t>1</t>
        </is>
      </c>
      <c r="J502" t="inlineStr">
        <is>
          <t>Yes</t>
        </is>
      </c>
      <c r="K502" t="inlineStr">
        <is>
          <t>No</t>
        </is>
      </c>
      <c r="L502" t="inlineStr">
        <is>
          <t>1</t>
        </is>
      </c>
      <c r="N502" t="inlineStr">
        <is>
          <t>Grand Rapids, Mich. : Eerdmans, c1987.</t>
        </is>
      </c>
      <c r="O502" t="inlineStr">
        <is>
          <t>1987</t>
        </is>
      </c>
      <c r="Q502" t="inlineStr">
        <is>
          <t>eng</t>
        </is>
      </c>
      <c r="R502" t="inlineStr">
        <is>
          <t>xxu</t>
        </is>
      </c>
      <c r="T502" t="inlineStr">
        <is>
          <t xml:space="preserve">W  </t>
        </is>
      </c>
      <c r="U502" t="n">
        <v>10</v>
      </c>
      <c r="V502" t="n">
        <v>10</v>
      </c>
      <c r="W502" t="inlineStr">
        <is>
          <t>1996-04-22</t>
        </is>
      </c>
      <c r="X502" t="inlineStr">
        <is>
          <t>1996-04-22</t>
        </is>
      </c>
      <c r="Y502" t="inlineStr">
        <is>
          <t>1987-09-09</t>
        </is>
      </c>
      <c r="Z502" t="inlineStr">
        <is>
          <t>1987-09-09</t>
        </is>
      </c>
      <c r="AA502" t="n">
        <v>885</v>
      </c>
      <c r="AB502" t="n">
        <v>757</v>
      </c>
      <c r="AC502" t="n">
        <v>1591</v>
      </c>
      <c r="AD502" t="n">
        <v>6</v>
      </c>
      <c r="AE502" t="n">
        <v>17</v>
      </c>
      <c r="AF502" t="n">
        <v>30</v>
      </c>
      <c r="AG502" t="n">
        <v>70</v>
      </c>
      <c r="AH502" t="n">
        <v>11</v>
      </c>
      <c r="AI502" t="n">
        <v>25</v>
      </c>
      <c r="AJ502" t="n">
        <v>5</v>
      </c>
      <c r="AK502" t="n">
        <v>12</v>
      </c>
      <c r="AL502" t="n">
        <v>15</v>
      </c>
      <c r="AM502" t="n">
        <v>28</v>
      </c>
      <c r="AN502" t="n">
        <v>2</v>
      </c>
      <c r="AO502" t="n">
        <v>13</v>
      </c>
      <c r="AP502" t="n">
        <v>3</v>
      </c>
      <c r="AQ502" t="n">
        <v>5</v>
      </c>
      <c r="AR502" t="inlineStr">
        <is>
          <t>No</t>
        </is>
      </c>
      <c r="AS502" t="inlineStr">
        <is>
          <t>Yes</t>
        </is>
      </c>
      <c r="AT502">
        <f>HYPERLINK("http://catalog.hathitrust.org/Record/000821706","HathiTrust Record")</f>
        <v/>
      </c>
      <c r="AU502">
        <f>HYPERLINK("https://creighton-primo.hosted.exlibrisgroup.com/primo-explore/search?tab=default_tab&amp;search_scope=EVERYTHING&amp;vid=01CRU&amp;lang=en_US&amp;offset=0&amp;query=any,contains,991001271089702656","Catalog Record")</f>
        <v/>
      </c>
      <c r="AV502">
        <f>HYPERLINK("http://www.worldcat.org/oclc/14069745","WorldCat Record")</f>
        <v/>
      </c>
      <c r="AW502" t="inlineStr">
        <is>
          <t>837002547:eng</t>
        </is>
      </c>
      <c r="AX502" t="inlineStr">
        <is>
          <t>14069745</t>
        </is>
      </c>
      <c r="AY502" t="inlineStr">
        <is>
          <t>991001271089702656</t>
        </is>
      </c>
      <c r="AZ502" t="inlineStr">
        <is>
          <t>991001271089702656</t>
        </is>
      </c>
      <c r="BA502" t="inlineStr">
        <is>
          <t>2258962420002656</t>
        </is>
      </c>
      <c r="BB502" t="inlineStr">
        <is>
          <t>BOOK</t>
        </is>
      </c>
      <c r="BD502" t="inlineStr">
        <is>
          <t>9780802836298</t>
        </is>
      </c>
      <c r="BE502" t="inlineStr">
        <is>
          <t>30001000354821</t>
        </is>
      </c>
      <c r="BF502" t="inlineStr">
        <is>
          <t>893374411</t>
        </is>
      </c>
    </row>
    <row r="503">
      <c r="A503" t="inlineStr">
        <is>
          <t>No</t>
        </is>
      </c>
      <c r="B503" t="inlineStr">
        <is>
          <t>CUHSL</t>
        </is>
      </c>
      <c r="C503" t="inlineStr">
        <is>
          <t>SHELVES</t>
        </is>
      </c>
      <c r="D503" t="inlineStr">
        <is>
          <t>W 50 O74d 1988</t>
        </is>
      </c>
      <c r="E503" t="inlineStr">
        <is>
          <t>0                      W  0050000O  74d         1988</t>
        </is>
      </c>
      <c r="F503" t="inlineStr">
        <is>
          <t>Development of Church teaching on prolonging life / Kevin D. OR̕ourke.</t>
        </is>
      </c>
      <c r="H503" t="inlineStr">
        <is>
          <t>No</t>
        </is>
      </c>
      <c r="I503" t="inlineStr">
        <is>
          <t>1</t>
        </is>
      </c>
      <c r="J503" t="inlineStr">
        <is>
          <t>No</t>
        </is>
      </c>
      <c r="K503" t="inlineStr">
        <is>
          <t>No</t>
        </is>
      </c>
      <c r="L503" t="inlineStr">
        <is>
          <t>0</t>
        </is>
      </c>
      <c r="M503" t="inlineStr">
        <is>
          <t>O'Rourke, Kevin D.</t>
        </is>
      </c>
      <c r="N503" t="inlineStr">
        <is>
          <t>St. Louis, Mo. : Catholic Health Association of the United States, c1988.</t>
        </is>
      </c>
      <c r="O503" t="inlineStr">
        <is>
          <t>1988</t>
        </is>
      </c>
      <c r="Q503" t="inlineStr">
        <is>
          <t>eng</t>
        </is>
      </c>
      <c r="R503" t="inlineStr">
        <is>
          <t>mou</t>
        </is>
      </c>
      <c r="T503" t="inlineStr">
        <is>
          <t xml:space="preserve">W  </t>
        </is>
      </c>
      <c r="U503" t="n">
        <v>3</v>
      </c>
      <c r="V503" t="n">
        <v>3</v>
      </c>
      <c r="W503" t="inlineStr">
        <is>
          <t>2000-04-02</t>
        </is>
      </c>
      <c r="X503" t="inlineStr">
        <is>
          <t>2000-04-02</t>
        </is>
      </c>
      <c r="Y503" t="inlineStr">
        <is>
          <t>1989-01-11</t>
        </is>
      </c>
      <c r="Z503" t="inlineStr">
        <is>
          <t>1989-01-11</t>
        </is>
      </c>
      <c r="AA503" t="n">
        <v>20</v>
      </c>
      <c r="AB503" t="n">
        <v>17</v>
      </c>
      <c r="AC503" t="n">
        <v>21</v>
      </c>
      <c r="AD503" t="n">
        <v>2</v>
      </c>
      <c r="AE503" t="n">
        <v>2</v>
      </c>
      <c r="AF503" t="n">
        <v>3</v>
      </c>
      <c r="AG503" t="n">
        <v>3</v>
      </c>
      <c r="AH503" t="n">
        <v>0</v>
      </c>
      <c r="AI503" t="n">
        <v>0</v>
      </c>
      <c r="AJ503" t="n">
        <v>1</v>
      </c>
      <c r="AK503" t="n">
        <v>1</v>
      </c>
      <c r="AL503" t="n">
        <v>1</v>
      </c>
      <c r="AM503" t="n">
        <v>1</v>
      </c>
      <c r="AN503" t="n">
        <v>0</v>
      </c>
      <c r="AO503" t="n">
        <v>0</v>
      </c>
      <c r="AP503" t="n">
        <v>1</v>
      </c>
      <c r="AQ503" t="n">
        <v>1</v>
      </c>
      <c r="AR503" t="inlineStr">
        <is>
          <t>No</t>
        </is>
      </c>
      <c r="AS503" t="inlineStr">
        <is>
          <t>No</t>
        </is>
      </c>
      <c r="AU503">
        <f>HYPERLINK("https://creighton-primo.hosted.exlibrisgroup.com/primo-explore/search?tab=default_tab&amp;search_scope=EVERYTHING&amp;vid=01CRU&amp;lang=en_US&amp;offset=0&amp;query=any,contains,991001109909702656","Catalog Record")</f>
        <v/>
      </c>
      <c r="AV503">
        <f>HYPERLINK("http://www.worldcat.org/oclc/21325992","WorldCat Record")</f>
        <v/>
      </c>
      <c r="AW503" t="inlineStr">
        <is>
          <t>23244102:eng</t>
        </is>
      </c>
      <c r="AX503" t="inlineStr">
        <is>
          <t>21325992</t>
        </is>
      </c>
      <c r="AY503" t="inlineStr">
        <is>
          <t>991001109909702656</t>
        </is>
      </c>
      <c r="AZ503" t="inlineStr">
        <is>
          <t>991001109909702656</t>
        </is>
      </c>
      <c r="BA503" t="inlineStr">
        <is>
          <t>2267917240002656</t>
        </is>
      </c>
      <c r="BB503" t="inlineStr">
        <is>
          <t>BOOK</t>
        </is>
      </c>
      <c r="BD503" t="inlineStr">
        <is>
          <t>9780871251527</t>
        </is>
      </c>
      <c r="BE503" t="inlineStr">
        <is>
          <t>30001001611831</t>
        </is>
      </c>
      <c r="BF503" t="inlineStr">
        <is>
          <t>893363778</t>
        </is>
      </c>
    </row>
    <row r="504">
      <c r="A504" t="inlineStr">
        <is>
          <t>No</t>
        </is>
      </c>
      <c r="B504" t="inlineStr">
        <is>
          <t>CUHSL</t>
        </is>
      </c>
      <c r="C504" t="inlineStr">
        <is>
          <t>SHELVES</t>
        </is>
      </c>
      <c r="D504" t="inlineStr">
        <is>
          <t>W 50 O74m 1986</t>
        </is>
      </c>
      <c r="E504" t="inlineStr">
        <is>
          <t>0                      W  0050000O  74m         1986</t>
        </is>
      </c>
      <c r="F504" t="inlineStr">
        <is>
          <t>Medical ethics : common ground for understanding / Kevin D. O'Rourke, Dennis Brodeur.</t>
        </is>
      </c>
      <c r="H504" t="inlineStr">
        <is>
          <t>No</t>
        </is>
      </c>
      <c r="I504" t="inlineStr">
        <is>
          <t>1</t>
        </is>
      </c>
      <c r="J504" t="inlineStr">
        <is>
          <t>No</t>
        </is>
      </c>
      <c r="K504" t="inlineStr">
        <is>
          <t>Yes</t>
        </is>
      </c>
      <c r="L504" t="inlineStr">
        <is>
          <t>0</t>
        </is>
      </c>
      <c r="M504" t="inlineStr">
        <is>
          <t>O'Rourke, Kevin D.</t>
        </is>
      </c>
      <c r="N504" t="inlineStr">
        <is>
          <t>St. Louis, MO : Catholic Health Association of the U.S., c1986.</t>
        </is>
      </c>
      <c r="O504" t="inlineStr">
        <is>
          <t>1986</t>
        </is>
      </c>
      <c r="Q504" t="inlineStr">
        <is>
          <t>eng</t>
        </is>
      </c>
      <c r="R504" t="inlineStr">
        <is>
          <t>mou</t>
        </is>
      </c>
      <c r="T504" t="inlineStr">
        <is>
          <t xml:space="preserve">W  </t>
        </is>
      </c>
      <c r="U504" t="n">
        <v>21</v>
      </c>
      <c r="V504" t="n">
        <v>21</v>
      </c>
      <c r="W504" t="inlineStr">
        <is>
          <t>2000-04-02</t>
        </is>
      </c>
      <c r="X504" t="inlineStr">
        <is>
          <t>2000-04-02</t>
        </is>
      </c>
      <c r="Y504" t="inlineStr">
        <is>
          <t>1987-10-02</t>
        </is>
      </c>
      <c r="Z504" t="inlineStr">
        <is>
          <t>1987-10-02</t>
        </is>
      </c>
      <c r="AA504" t="n">
        <v>256</v>
      </c>
      <c r="AB504" t="n">
        <v>236</v>
      </c>
      <c r="AC504" t="n">
        <v>282</v>
      </c>
      <c r="AD504" t="n">
        <v>1</v>
      </c>
      <c r="AE504" t="n">
        <v>2</v>
      </c>
      <c r="AF504" t="n">
        <v>19</v>
      </c>
      <c r="AG504" t="n">
        <v>20</v>
      </c>
      <c r="AH504" t="n">
        <v>5</v>
      </c>
      <c r="AI504" t="n">
        <v>6</v>
      </c>
      <c r="AJ504" t="n">
        <v>4</v>
      </c>
      <c r="AK504" t="n">
        <v>4</v>
      </c>
      <c r="AL504" t="n">
        <v>12</v>
      </c>
      <c r="AM504" t="n">
        <v>13</v>
      </c>
      <c r="AN504" t="n">
        <v>0</v>
      </c>
      <c r="AO504" t="n">
        <v>0</v>
      </c>
      <c r="AP504" t="n">
        <v>3</v>
      </c>
      <c r="AQ504" t="n">
        <v>3</v>
      </c>
      <c r="AR504" t="inlineStr">
        <is>
          <t>No</t>
        </is>
      </c>
      <c r="AS504" t="inlineStr">
        <is>
          <t>Yes</t>
        </is>
      </c>
      <c r="AT504">
        <f>HYPERLINK("http://catalog.hathitrust.org/Record/000388655","HathiTrust Record")</f>
        <v/>
      </c>
      <c r="AU504">
        <f>HYPERLINK("https://creighton-primo.hosted.exlibrisgroup.com/primo-explore/search?tab=default_tab&amp;search_scope=EVERYTHING&amp;vid=01CRU&amp;lang=en_US&amp;offset=0&amp;query=any,contains,991001126259702656","Catalog Record")</f>
        <v/>
      </c>
      <c r="AV504">
        <f>HYPERLINK("http://www.worldcat.org/oclc/12558008","WorldCat Record")</f>
        <v/>
      </c>
      <c r="AW504" t="inlineStr">
        <is>
          <t>10090706:eng</t>
        </is>
      </c>
      <c r="AX504" t="inlineStr">
        <is>
          <t>12558008</t>
        </is>
      </c>
      <c r="AY504" t="inlineStr">
        <is>
          <t>991001126259702656</t>
        </is>
      </c>
      <c r="AZ504" t="inlineStr">
        <is>
          <t>991001126259702656</t>
        </is>
      </c>
      <c r="BA504" t="inlineStr">
        <is>
          <t>2256856540002656</t>
        </is>
      </c>
      <c r="BB504" t="inlineStr">
        <is>
          <t>BOOK</t>
        </is>
      </c>
      <c r="BD504" t="inlineStr">
        <is>
          <t>9780871251091</t>
        </is>
      </c>
      <c r="BE504" t="inlineStr">
        <is>
          <t>30001000279945</t>
        </is>
      </c>
      <c r="BF504" t="inlineStr">
        <is>
          <t>893273726</t>
        </is>
      </c>
    </row>
    <row r="505">
      <c r="A505" t="inlineStr">
        <is>
          <t>No</t>
        </is>
      </c>
      <c r="B505" t="inlineStr">
        <is>
          <t>CUHSL</t>
        </is>
      </c>
      <c r="C505" t="inlineStr">
        <is>
          <t>SHELVES</t>
        </is>
      </c>
      <c r="D505" t="inlineStr">
        <is>
          <t>W 50 O74m 1989 pt.II</t>
        </is>
      </c>
      <c r="E505" t="inlineStr">
        <is>
          <t>0                      W  0050000O  74m         1989                                        pt.II</t>
        </is>
      </c>
      <c r="F505" t="inlineStr">
        <is>
          <t>Medical ethics : common ground for understanding / Kevin D. O'Rourke, Dennis Brodeur.</t>
        </is>
      </c>
      <c r="G505" t="inlineStr">
        <is>
          <t>V. 2</t>
        </is>
      </c>
      <c r="H505" t="inlineStr">
        <is>
          <t>No</t>
        </is>
      </c>
      <c r="I505" t="inlineStr">
        <is>
          <t>1</t>
        </is>
      </c>
      <c r="J505" t="inlineStr">
        <is>
          <t>No</t>
        </is>
      </c>
      <c r="K505" t="inlineStr">
        <is>
          <t>Yes</t>
        </is>
      </c>
      <c r="L505" t="inlineStr">
        <is>
          <t>0</t>
        </is>
      </c>
      <c r="M505" t="inlineStr">
        <is>
          <t>O'Rourke, Kevin D.</t>
        </is>
      </c>
      <c r="N505" t="inlineStr">
        <is>
          <t>St. Louis, MO : Catholic Health Association of the U.S., c1989.</t>
        </is>
      </c>
      <c r="O505" t="inlineStr">
        <is>
          <t>1989</t>
        </is>
      </c>
      <c r="Q505" t="inlineStr">
        <is>
          <t>eng</t>
        </is>
      </c>
      <c r="R505" t="inlineStr">
        <is>
          <t>xxu</t>
        </is>
      </c>
      <c r="T505" t="inlineStr">
        <is>
          <t xml:space="preserve">W  </t>
        </is>
      </c>
      <c r="U505" t="n">
        <v>18</v>
      </c>
      <c r="V505" t="n">
        <v>18</v>
      </c>
      <c r="W505" t="inlineStr">
        <is>
          <t>2000-04-02</t>
        </is>
      </c>
      <c r="X505" t="inlineStr">
        <is>
          <t>2000-04-02</t>
        </is>
      </c>
      <c r="Y505" t="inlineStr">
        <is>
          <t>1989-02-01</t>
        </is>
      </c>
      <c r="Z505" t="inlineStr">
        <is>
          <t>1989-02-01</t>
        </is>
      </c>
      <c r="AA505" t="n">
        <v>69</v>
      </c>
      <c r="AB505" t="n">
        <v>56</v>
      </c>
      <c r="AC505" t="n">
        <v>282</v>
      </c>
      <c r="AD505" t="n">
        <v>2</v>
      </c>
      <c r="AE505" t="n">
        <v>2</v>
      </c>
      <c r="AF505" t="n">
        <v>1</v>
      </c>
      <c r="AG505" t="n">
        <v>20</v>
      </c>
      <c r="AH505" t="n">
        <v>1</v>
      </c>
      <c r="AI505" t="n">
        <v>6</v>
      </c>
      <c r="AJ505" t="n">
        <v>0</v>
      </c>
      <c r="AK505" t="n">
        <v>4</v>
      </c>
      <c r="AL505" t="n">
        <v>1</v>
      </c>
      <c r="AM505" t="n">
        <v>13</v>
      </c>
      <c r="AN505" t="n">
        <v>0</v>
      </c>
      <c r="AO505" t="n">
        <v>0</v>
      </c>
      <c r="AP505" t="n">
        <v>0</v>
      </c>
      <c r="AQ505" t="n">
        <v>3</v>
      </c>
      <c r="AR505" t="inlineStr">
        <is>
          <t>No</t>
        </is>
      </c>
      <c r="AS505" t="inlineStr">
        <is>
          <t>No</t>
        </is>
      </c>
      <c r="AU505">
        <f>HYPERLINK("https://creighton-primo.hosted.exlibrisgroup.com/primo-explore/search?tab=default_tab&amp;search_scope=EVERYTHING&amp;vid=01CRU&amp;lang=en_US&amp;offset=0&amp;query=any,contains,991001117259702656","Catalog Record")</f>
        <v/>
      </c>
      <c r="AV505">
        <f>HYPERLINK("http://www.worldcat.org/oclc/15366214","WorldCat Record")</f>
        <v/>
      </c>
      <c r="AW505" t="inlineStr">
        <is>
          <t>10090706:eng</t>
        </is>
      </c>
      <c r="AX505" t="inlineStr">
        <is>
          <t>15366214</t>
        </is>
      </c>
      <c r="AY505" t="inlineStr">
        <is>
          <t>991001117259702656</t>
        </is>
      </c>
      <c r="AZ505" t="inlineStr">
        <is>
          <t>991001117259702656</t>
        </is>
      </c>
      <c r="BA505" t="inlineStr">
        <is>
          <t>2259741670002656</t>
        </is>
      </c>
      <c r="BB505" t="inlineStr">
        <is>
          <t>BOOK</t>
        </is>
      </c>
      <c r="BE505" t="inlineStr">
        <is>
          <t>30001001613605</t>
        </is>
      </c>
      <c r="BF505" t="inlineStr">
        <is>
          <t>893161690</t>
        </is>
      </c>
    </row>
    <row r="506">
      <c r="A506" t="inlineStr">
        <is>
          <t>No</t>
        </is>
      </c>
      <c r="B506" t="inlineStr">
        <is>
          <t>CUHSL</t>
        </is>
      </c>
      <c r="C506" t="inlineStr">
        <is>
          <t>SHELVES</t>
        </is>
      </c>
      <c r="D506" t="inlineStr">
        <is>
          <t>W 50 O74ma 1993</t>
        </is>
      </c>
      <c r="E506" t="inlineStr">
        <is>
          <t>0                      W  0050000O  74ma        1993</t>
        </is>
      </c>
      <c r="F506" t="inlineStr">
        <is>
          <t>Medical ethics : sources of Catholic teachings / Kevin D. O'Rourke, Philip Boyle.</t>
        </is>
      </c>
      <c r="H506" t="inlineStr">
        <is>
          <t>No</t>
        </is>
      </c>
      <c r="I506" t="inlineStr">
        <is>
          <t>1</t>
        </is>
      </c>
      <c r="J506" t="inlineStr">
        <is>
          <t>Yes</t>
        </is>
      </c>
      <c r="K506" t="inlineStr">
        <is>
          <t>Yes</t>
        </is>
      </c>
      <c r="L506" t="inlineStr">
        <is>
          <t>0</t>
        </is>
      </c>
      <c r="M506" t="inlineStr">
        <is>
          <t>O'Rourke, Kevin D.</t>
        </is>
      </c>
      <c r="N506" t="inlineStr">
        <is>
          <t>Washington, D.C. : Georgetown University Press, 1993.</t>
        </is>
      </c>
      <c r="O506" t="inlineStr">
        <is>
          <t>1993</t>
        </is>
      </c>
      <c r="P506" t="inlineStr">
        <is>
          <t>2nd ed.</t>
        </is>
      </c>
      <c r="Q506" t="inlineStr">
        <is>
          <t>eng</t>
        </is>
      </c>
      <c r="R506" t="inlineStr">
        <is>
          <t>dcu</t>
        </is>
      </c>
      <c r="T506" t="inlineStr">
        <is>
          <t xml:space="preserve">W  </t>
        </is>
      </c>
      <c r="U506" t="n">
        <v>8</v>
      </c>
      <c r="V506" t="n">
        <v>14</v>
      </c>
      <c r="W506" t="inlineStr">
        <is>
          <t>2002-11-25</t>
        </is>
      </c>
      <c r="X506" t="inlineStr">
        <is>
          <t>2005-04-04</t>
        </is>
      </c>
      <c r="Y506" t="inlineStr">
        <is>
          <t>1997-12-15</t>
        </is>
      </c>
      <c r="Z506" t="inlineStr">
        <is>
          <t>1997-12-15</t>
        </is>
      </c>
      <c r="AA506" t="n">
        <v>227</v>
      </c>
      <c r="AB506" t="n">
        <v>187</v>
      </c>
      <c r="AC506" t="n">
        <v>535</v>
      </c>
      <c r="AD506" t="n">
        <v>2</v>
      </c>
      <c r="AE506" t="n">
        <v>8</v>
      </c>
      <c r="AF506" t="n">
        <v>23</v>
      </c>
      <c r="AG506" t="n">
        <v>48</v>
      </c>
      <c r="AH506" t="n">
        <v>4</v>
      </c>
      <c r="AI506" t="n">
        <v>15</v>
      </c>
      <c r="AJ506" t="n">
        <v>4</v>
      </c>
      <c r="AK506" t="n">
        <v>10</v>
      </c>
      <c r="AL506" t="n">
        <v>17</v>
      </c>
      <c r="AM506" t="n">
        <v>26</v>
      </c>
      <c r="AN506" t="n">
        <v>0</v>
      </c>
      <c r="AO506" t="n">
        <v>4</v>
      </c>
      <c r="AP506" t="n">
        <v>4</v>
      </c>
      <c r="AQ506" t="n">
        <v>5</v>
      </c>
      <c r="AR506" t="inlineStr">
        <is>
          <t>No</t>
        </is>
      </c>
      <c r="AS506" t="inlineStr">
        <is>
          <t>Yes</t>
        </is>
      </c>
      <c r="AT506">
        <f>HYPERLINK("http://catalog.hathitrust.org/Record/002806252","HathiTrust Record")</f>
        <v/>
      </c>
      <c r="AU506">
        <f>HYPERLINK("https://creighton-primo.hosted.exlibrisgroup.com/primo-explore/search?tab=default_tab&amp;search_scope=EVERYTHING&amp;vid=01CRU&amp;lang=en_US&amp;offset=0&amp;query=any,contains,991001658839702656","Catalog Record")</f>
        <v/>
      </c>
      <c r="AV506">
        <f>HYPERLINK("http://www.worldcat.org/oclc/28257405","WorldCat Record")</f>
        <v/>
      </c>
      <c r="AW506" t="inlineStr">
        <is>
          <t>21193130:eng</t>
        </is>
      </c>
      <c r="AX506" t="inlineStr">
        <is>
          <t>28257405</t>
        </is>
      </c>
      <c r="AY506" t="inlineStr">
        <is>
          <t>991001658839702656</t>
        </is>
      </c>
      <c r="AZ506" t="inlineStr">
        <is>
          <t>991001658839702656</t>
        </is>
      </c>
      <c r="BA506" t="inlineStr">
        <is>
          <t>2261006230002656</t>
        </is>
      </c>
      <c r="BB506" t="inlineStr">
        <is>
          <t>BOOK</t>
        </is>
      </c>
      <c r="BD506" t="inlineStr">
        <is>
          <t>9780878405404</t>
        </is>
      </c>
      <c r="BE506" t="inlineStr">
        <is>
          <t>30001003654151</t>
        </is>
      </c>
      <c r="BF506" t="inlineStr">
        <is>
          <t>893727783</t>
        </is>
      </c>
    </row>
    <row r="507">
      <c r="A507" t="inlineStr">
        <is>
          <t>No</t>
        </is>
      </c>
      <c r="B507" t="inlineStr">
        <is>
          <t>CUHSL</t>
        </is>
      </c>
      <c r="C507" t="inlineStr">
        <is>
          <t>SHELVES</t>
        </is>
      </c>
      <c r="D507" t="inlineStr">
        <is>
          <t>W 50 O97 1998</t>
        </is>
      </c>
      <c r="E507" t="inlineStr">
        <is>
          <t>0                      W  0050000O  97          1998</t>
        </is>
      </c>
      <c r="F507" t="inlineStr">
        <is>
          <t>Ownership of the human body : philosophical considerations on the use of the human body and its parts in healthcare / edited by Henk A.M.J. Ten Have and Jos V.M. Welie ; with the collaboration of Stuart F. Spicker.</t>
        </is>
      </c>
      <c r="H507" t="inlineStr">
        <is>
          <t>No</t>
        </is>
      </c>
      <c r="I507" t="inlineStr">
        <is>
          <t>1</t>
        </is>
      </c>
      <c r="J507" t="inlineStr">
        <is>
          <t>No</t>
        </is>
      </c>
      <c r="K507" t="inlineStr">
        <is>
          <t>No</t>
        </is>
      </c>
      <c r="L507" t="inlineStr">
        <is>
          <t>0</t>
        </is>
      </c>
      <c r="N507" t="inlineStr">
        <is>
          <t>Dordrecht ; Boston : Kluwer Academic Publishers, c1998.</t>
        </is>
      </c>
      <c r="O507" t="inlineStr">
        <is>
          <t>1998</t>
        </is>
      </c>
      <c r="Q507" t="inlineStr">
        <is>
          <t>eng</t>
        </is>
      </c>
      <c r="R507" t="inlineStr">
        <is>
          <t xml:space="preserve">ne </t>
        </is>
      </c>
      <c r="S507" t="inlineStr">
        <is>
          <t>European studies in philosophy of medicine ; 3</t>
        </is>
      </c>
      <c r="T507" t="inlineStr">
        <is>
          <t xml:space="preserve">W  </t>
        </is>
      </c>
      <c r="U507" t="n">
        <v>11</v>
      </c>
      <c r="V507" t="n">
        <v>11</v>
      </c>
      <c r="W507" t="inlineStr">
        <is>
          <t>2002-11-13</t>
        </is>
      </c>
      <c r="X507" t="inlineStr">
        <is>
          <t>2002-11-13</t>
        </is>
      </c>
      <c r="Y507" t="inlineStr">
        <is>
          <t>1998-11-05</t>
        </is>
      </c>
      <c r="Z507" t="inlineStr">
        <is>
          <t>1998-11-05</t>
        </is>
      </c>
      <c r="AA507" t="n">
        <v>231</v>
      </c>
      <c r="AB507" t="n">
        <v>166</v>
      </c>
      <c r="AC507" t="n">
        <v>189</v>
      </c>
      <c r="AD507" t="n">
        <v>1</v>
      </c>
      <c r="AE507" t="n">
        <v>1</v>
      </c>
      <c r="AF507" t="n">
        <v>18</v>
      </c>
      <c r="AG507" t="n">
        <v>19</v>
      </c>
      <c r="AH507" t="n">
        <v>6</v>
      </c>
      <c r="AI507" t="n">
        <v>6</v>
      </c>
      <c r="AJ507" t="n">
        <v>7</v>
      </c>
      <c r="AK507" t="n">
        <v>7</v>
      </c>
      <c r="AL507" t="n">
        <v>12</v>
      </c>
      <c r="AM507" t="n">
        <v>13</v>
      </c>
      <c r="AN507" t="n">
        <v>0</v>
      </c>
      <c r="AO507" t="n">
        <v>0</v>
      </c>
      <c r="AP507" t="n">
        <v>0</v>
      </c>
      <c r="AQ507" t="n">
        <v>0</v>
      </c>
      <c r="AR507" t="inlineStr">
        <is>
          <t>No</t>
        </is>
      </c>
      <c r="AS507" t="inlineStr">
        <is>
          <t>No</t>
        </is>
      </c>
      <c r="AU507">
        <f>HYPERLINK("https://creighton-primo.hosted.exlibrisgroup.com/primo-explore/search?tab=default_tab&amp;search_scope=EVERYTHING&amp;vid=01CRU&amp;lang=en_US&amp;offset=0&amp;query=any,contains,991000690159702656","Catalog Record")</f>
        <v/>
      </c>
      <c r="AV507">
        <f>HYPERLINK("http://www.worldcat.org/oclc/39170040","WorldCat Record")</f>
        <v/>
      </c>
      <c r="AW507" t="inlineStr">
        <is>
          <t>806739231:eng</t>
        </is>
      </c>
      <c r="AX507" t="inlineStr">
        <is>
          <t>39170040</t>
        </is>
      </c>
      <c r="AY507" t="inlineStr">
        <is>
          <t>991000690159702656</t>
        </is>
      </c>
      <c r="AZ507" t="inlineStr">
        <is>
          <t>991000690159702656</t>
        </is>
      </c>
      <c r="BA507" t="inlineStr">
        <is>
          <t>2270172670002656</t>
        </is>
      </c>
      <c r="BB507" t="inlineStr">
        <is>
          <t>BOOK</t>
        </is>
      </c>
      <c r="BD507" t="inlineStr">
        <is>
          <t>9780792351504</t>
        </is>
      </c>
      <c r="BE507" t="inlineStr">
        <is>
          <t>30001004036408</t>
        </is>
      </c>
      <c r="BF507" t="inlineStr">
        <is>
          <t>893450093</t>
        </is>
      </c>
    </row>
    <row r="508">
      <c r="A508" t="inlineStr">
        <is>
          <t>No</t>
        </is>
      </c>
      <c r="B508" t="inlineStr">
        <is>
          <t>CUHSL</t>
        </is>
      </c>
      <c r="C508" t="inlineStr">
        <is>
          <t>SHELVES</t>
        </is>
      </c>
      <c r="D508" t="inlineStr">
        <is>
          <t>W 50 P218d 1983</t>
        </is>
      </c>
      <c r="E508" t="inlineStr">
        <is>
          <t>0                      W  0050000P  218d        1983</t>
        </is>
      </c>
      <c r="F508" t="inlineStr">
        <is>
          <t>Doing right : everyday medical ethics / Solomon Papper.</t>
        </is>
      </c>
      <c r="H508" t="inlineStr">
        <is>
          <t>No</t>
        </is>
      </c>
      <c r="I508" t="inlineStr">
        <is>
          <t>1</t>
        </is>
      </c>
      <c r="J508" t="inlineStr">
        <is>
          <t>No</t>
        </is>
      </c>
      <c r="K508" t="inlineStr">
        <is>
          <t>No</t>
        </is>
      </c>
      <c r="L508" t="inlineStr">
        <is>
          <t>0</t>
        </is>
      </c>
      <c r="M508" t="inlineStr">
        <is>
          <t>Papper, Solomon, 1922-1984.</t>
        </is>
      </c>
      <c r="N508" t="inlineStr">
        <is>
          <t>Boston : Little, Brown, c1983.</t>
        </is>
      </c>
      <c r="O508" t="inlineStr">
        <is>
          <t>1983</t>
        </is>
      </c>
      <c r="P508" t="inlineStr">
        <is>
          <t>1st ed.</t>
        </is>
      </c>
      <c r="Q508" t="inlineStr">
        <is>
          <t>eng</t>
        </is>
      </c>
      <c r="R508" t="inlineStr">
        <is>
          <t>mau</t>
        </is>
      </c>
      <c r="T508" t="inlineStr">
        <is>
          <t xml:space="preserve">W  </t>
        </is>
      </c>
      <c r="U508" t="n">
        <v>11</v>
      </c>
      <c r="V508" t="n">
        <v>11</v>
      </c>
      <c r="W508" t="inlineStr">
        <is>
          <t>2007-08-12</t>
        </is>
      </c>
      <c r="X508" t="inlineStr">
        <is>
          <t>2007-08-12</t>
        </is>
      </c>
      <c r="Y508" t="inlineStr">
        <is>
          <t>1987-10-02</t>
        </is>
      </c>
      <c r="Z508" t="inlineStr">
        <is>
          <t>1987-10-02</t>
        </is>
      </c>
      <c r="AA508" t="n">
        <v>163</v>
      </c>
      <c r="AB508" t="n">
        <v>138</v>
      </c>
      <c r="AC508" t="n">
        <v>140</v>
      </c>
      <c r="AD508" t="n">
        <v>1</v>
      </c>
      <c r="AE508" t="n">
        <v>1</v>
      </c>
      <c r="AF508" t="n">
        <v>4</v>
      </c>
      <c r="AG508" t="n">
        <v>4</v>
      </c>
      <c r="AH508" t="n">
        <v>2</v>
      </c>
      <c r="AI508" t="n">
        <v>2</v>
      </c>
      <c r="AJ508" t="n">
        <v>0</v>
      </c>
      <c r="AK508" t="n">
        <v>0</v>
      </c>
      <c r="AL508" t="n">
        <v>4</v>
      </c>
      <c r="AM508" t="n">
        <v>4</v>
      </c>
      <c r="AN508" t="n">
        <v>0</v>
      </c>
      <c r="AO508" t="n">
        <v>0</v>
      </c>
      <c r="AP508" t="n">
        <v>0</v>
      </c>
      <c r="AQ508" t="n">
        <v>0</v>
      </c>
      <c r="AR508" t="inlineStr">
        <is>
          <t>No</t>
        </is>
      </c>
      <c r="AS508" t="inlineStr">
        <is>
          <t>Yes</t>
        </is>
      </c>
      <c r="AT508">
        <f>HYPERLINK("http://catalog.hathitrust.org/Record/000784355","HathiTrust Record")</f>
        <v/>
      </c>
      <c r="AU508">
        <f>HYPERLINK("https://creighton-primo.hosted.exlibrisgroup.com/primo-explore/search?tab=default_tab&amp;search_scope=EVERYTHING&amp;vid=01CRU&amp;lang=en_US&amp;offset=0&amp;query=any,contains,991001126299702656","Catalog Record")</f>
        <v/>
      </c>
      <c r="AV508">
        <f>HYPERLINK("http://www.worldcat.org/oclc/10006891","WorldCat Record")</f>
        <v/>
      </c>
      <c r="AW508" t="inlineStr">
        <is>
          <t>836632827:eng</t>
        </is>
      </c>
      <c r="AX508" t="inlineStr">
        <is>
          <t>10006891</t>
        </is>
      </c>
      <c r="AY508" t="inlineStr">
        <is>
          <t>991001126299702656</t>
        </is>
      </c>
      <c r="AZ508" t="inlineStr">
        <is>
          <t>991001126299702656</t>
        </is>
      </c>
      <c r="BA508" t="inlineStr">
        <is>
          <t>2271367910002656</t>
        </is>
      </c>
      <c r="BB508" t="inlineStr">
        <is>
          <t>BOOK</t>
        </is>
      </c>
      <c r="BD508" t="inlineStr">
        <is>
          <t>9780316690447</t>
        </is>
      </c>
      <c r="BE508" t="inlineStr">
        <is>
          <t>30001000279937</t>
        </is>
      </c>
      <c r="BF508" t="inlineStr">
        <is>
          <t>893736234</t>
        </is>
      </c>
    </row>
    <row r="509">
      <c r="A509" t="inlineStr">
        <is>
          <t>No</t>
        </is>
      </c>
      <c r="B509" t="inlineStr">
        <is>
          <t>CUHSL</t>
        </is>
      </c>
      <c r="C509" t="inlineStr">
        <is>
          <t>SHELVES</t>
        </is>
      </c>
      <c r="D509" t="inlineStr">
        <is>
          <t>W 50 P346b 1985</t>
        </is>
      </c>
      <c r="E509" t="inlineStr">
        <is>
          <t>0                      W  0050000P  346b        1985</t>
        </is>
      </c>
      <c r="F509" t="inlineStr">
        <is>
          <t>Biblical/Medical ethics : the Christian and the practice of medicine / Franklin E. Payne, Jr.</t>
        </is>
      </c>
      <c r="H509" t="inlineStr">
        <is>
          <t>No</t>
        </is>
      </c>
      <c r="I509" t="inlineStr">
        <is>
          <t>1</t>
        </is>
      </c>
      <c r="J509" t="inlineStr">
        <is>
          <t>No</t>
        </is>
      </c>
      <c r="K509" t="inlineStr">
        <is>
          <t>No</t>
        </is>
      </c>
      <c r="L509" t="inlineStr">
        <is>
          <t>0</t>
        </is>
      </c>
      <c r="M509" t="inlineStr">
        <is>
          <t>Payne, Franklin E.</t>
        </is>
      </c>
      <c r="N509" t="inlineStr">
        <is>
          <t>Milford, Mich. : Mott Media, c1985.</t>
        </is>
      </c>
      <c r="O509" t="inlineStr">
        <is>
          <t>1985</t>
        </is>
      </c>
      <c r="P509" t="inlineStr">
        <is>
          <t>1st ed.</t>
        </is>
      </c>
      <c r="Q509" t="inlineStr">
        <is>
          <t>eng</t>
        </is>
      </c>
      <c r="R509" t="inlineStr">
        <is>
          <t>miu</t>
        </is>
      </c>
      <c r="T509" t="inlineStr">
        <is>
          <t xml:space="preserve">W  </t>
        </is>
      </c>
      <c r="U509" t="n">
        <v>7</v>
      </c>
      <c r="V509" t="n">
        <v>7</v>
      </c>
      <c r="W509" t="inlineStr">
        <is>
          <t>1997-10-02</t>
        </is>
      </c>
      <c r="X509" t="inlineStr">
        <is>
          <t>1997-10-02</t>
        </is>
      </c>
      <c r="Y509" t="inlineStr">
        <is>
          <t>1988-03-19</t>
        </is>
      </c>
      <c r="Z509" t="inlineStr">
        <is>
          <t>1988-03-19</t>
        </is>
      </c>
      <c r="AA509" t="n">
        <v>229</v>
      </c>
      <c r="AB509" t="n">
        <v>210</v>
      </c>
      <c r="AC509" t="n">
        <v>212</v>
      </c>
      <c r="AD509" t="n">
        <v>2</v>
      </c>
      <c r="AE509" t="n">
        <v>2</v>
      </c>
      <c r="AF509" t="n">
        <v>6</v>
      </c>
      <c r="AG509" t="n">
        <v>6</v>
      </c>
      <c r="AH509" t="n">
        <v>2</v>
      </c>
      <c r="AI509" t="n">
        <v>2</v>
      </c>
      <c r="AJ509" t="n">
        <v>0</v>
      </c>
      <c r="AK509" t="n">
        <v>0</v>
      </c>
      <c r="AL509" t="n">
        <v>4</v>
      </c>
      <c r="AM509" t="n">
        <v>4</v>
      </c>
      <c r="AN509" t="n">
        <v>1</v>
      </c>
      <c r="AO509" t="n">
        <v>1</v>
      </c>
      <c r="AP509" t="n">
        <v>0</v>
      </c>
      <c r="AQ509" t="n">
        <v>0</v>
      </c>
      <c r="AR509" t="inlineStr">
        <is>
          <t>No</t>
        </is>
      </c>
      <c r="AS509" t="inlineStr">
        <is>
          <t>Yes</t>
        </is>
      </c>
      <c r="AT509">
        <f>HYPERLINK("http://catalog.hathitrust.org/Record/001078423","HathiTrust Record")</f>
        <v/>
      </c>
      <c r="AU509">
        <f>HYPERLINK("https://creighton-primo.hosted.exlibrisgroup.com/primo-explore/search?tab=default_tab&amp;search_scope=EVERYTHING&amp;vid=01CRU&amp;lang=en_US&amp;offset=0&amp;query=any,contains,991001175929702656","Catalog Record")</f>
        <v/>
      </c>
      <c r="AV509">
        <f>HYPERLINK("http://www.worldcat.org/oclc/12597346","WorldCat Record")</f>
        <v/>
      </c>
      <c r="AW509" t="inlineStr">
        <is>
          <t>5380016:eng</t>
        </is>
      </c>
      <c r="AX509" t="inlineStr">
        <is>
          <t>12597346</t>
        </is>
      </c>
      <c r="AY509" t="inlineStr">
        <is>
          <t>991001175929702656</t>
        </is>
      </c>
      <c r="AZ509" t="inlineStr">
        <is>
          <t>991001175929702656</t>
        </is>
      </c>
      <c r="BA509" t="inlineStr">
        <is>
          <t>2267535060002656</t>
        </is>
      </c>
      <c r="BB509" t="inlineStr">
        <is>
          <t>BOOK</t>
        </is>
      </c>
      <c r="BD509" t="inlineStr">
        <is>
          <t>9780880620680</t>
        </is>
      </c>
      <c r="BE509" t="inlineStr">
        <is>
          <t>30001000975955</t>
        </is>
      </c>
      <c r="BF509" t="inlineStr">
        <is>
          <t>893363847</t>
        </is>
      </c>
    </row>
    <row r="510">
      <c r="A510" t="inlineStr">
        <is>
          <t>No</t>
        </is>
      </c>
      <c r="B510" t="inlineStr">
        <is>
          <t>CUHSL</t>
        </is>
      </c>
      <c r="C510" t="inlineStr">
        <is>
          <t>SHELVES</t>
        </is>
      </c>
      <c r="D510" t="inlineStr">
        <is>
          <t>W 50 P386c 1996</t>
        </is>
      </c>
      <c r="E510" t="inlineStr">
        <is>
          <t>0                      W  0050000P  386c        1996</t>
        </is>
      </c>
      <c r="F510" t="inlineStr">
        <is>
          <t>The Christian virtues in medical practice / Edmund D. Pellegrino, David C. Thomasma ; with the editorial assistance of David G. Miller.</t>
        </is>
      </c>
      <c r="H510" t="inlineStr">
        <is>
          <t>No</t>
        </is>
      </c>
      <c r="I510" t="inlineStr">
        <is>
          <t>1</t>
        </is>
      </c>
      <c r="J510" t="inlineStr">
        <is>
          <t>No</t>
        </is>
      </c>
      <c r="K510" t="inlineStr">
        <is>
          <t>No</t>
        </is>
      </c>
      <c r="L510" t="inlineStr">
        <is>
          <t>1</t>
        </is>
      </c>
      <c r="M510" t="inlineStr">
        <is>
          <t>Pellegrino, Edmund D., 1920-2013.</t>
        </is>
      </c>
      <c r="N510" t="inlineStr">
        <is>
          <t>Washington, D.C. : Georgetown University Press, c1996.</t>
        </is>
      </c>
      <c r="O510" t="inlineStr">
        <is>
          <t>1996</t>
        </is>
      </c>
      <c r="Q510" t="inlineStr">
        <is>
          <t>eng</t>
        </is>
      </c>
      <c r="R510" t="inlineStr">
        <is>
          <t>dcu</t>
        </is>
      </c>
      <c r="T510" t="inlineStr">
        <is>
          <t xml:space="preserve">W  </t>
        </is>
      </c>
      <c r="U510" t="n">
        <v>19</v>
      </c>
      <c r="V510" t="n">
        <v>19</v>
      </c>
      <c r="W510" t="inlineStr">
        <is>
          <t>2005-11-18</t>
        </is>
      </c>
      <c r="X510" t="inlineStr">
        <is>
          <t>2005-11-18</t>
        </is>
      </c>
      <c r="Y510" t="inlineStr">
        <is>
          <t>1996-09-26</t>
        </is>
      </c>
      <c r="Z510" t="inlineStr">
        <is>
          <t>1996-09-26</t>
        </is>
      </c>
      <c r="AA510" t="n">
        <v>363</v>
      </c>
      <c r="AB510" t="n">
        <v>292</v>
      </c>
      <c r="AC510" t="n">
        <v>1193</v>
      </c>
      <c r="AD510" t="n">
        <v>1</v>
      </c>
      <c r="AE510" t="n">
        <v>15</v>
      </c>
      <c r="AF510" t="n">
        <v>26</v>
      </c>
      <c r="AG510" t="n">
        <v>51</v>
      </c>
      <c r="AH510" t="n">
        <v>10</v>
      </c>
      <c r="AI510" t="n">
        <v>18</v>
      </c>
      <c r="AJ510" t="n">
        <v>8</v>
      </c>
      <c r="AK510" t="n">
        <v>9</v>
      </c>
      <c r="AL510" t="n">
        <v>19</v>
      </c>
      <c r="AM510" t="n">
        <v>22</v>
      </c>
      <c r="AN510" t="n">
        <v>0</v>
      </c>
      <c r="AO510" t="n">
        <v>13</v>
      </c>
      <c r="AP510" t="n">
        <v>1</v>
      </c>
      <c r="AQ510" t="n">
        <v>2</v>
      </c>
      <c r="AR510" t="inlineStr">
        <is>
          <t>No</t>
        </is>
      </c>
      <c r="AS510" t="inlineStr">
        <is>
          <t>No</t>
        </is>
      </c>
      <c r="AU510">
        <f>HYPERLINK("https://creighton-primo.hosted.exlibrisgroup.com/primo-explore/search?tab=default_tab&amp;search_scope=EVERYTHING&amp;vid=01CRU&amp;lang=en_US&amp;offset=0&amp;query=any,contains,991000848199702656","Catalog Record")</f>
        <v/>
      </c>
      <c r="AV510">
        <f>HYPERLINK("http://www.worldcat.org/oclc/30110535","WorldCat Record")</f>
        <v/>
      </c>
      <c r="AW510" t="inlineStr">
        <is>
          <t>3856678241:eng</t>
        </is>
      </c>
      <c r="AX510" t="inlineStr">
        <is>
          <t>30110535</t>
        </is>
      </c>
      <c r="AY510" t="inlineStr">
        <is>
          <t>991000848199702656</t>
        </is>
      </c>
      <c r="AZ510" t="inlineStr">
        <is>
          <t>991000848199702656</t>
        </is>
      </c>
      <c r="BA510" t="inlineStr">
        <is>
          <t>2255606730002656</t>
        </is>
      </c>
      <c r="BB510" t="inlineStr">
        <is>
          <t>BOOK</t>
        </is>
      </c>
      <c r="BD510" t="inlineStr">
        <is>
          <t>9780878405664</t>
        </is>
      </c>
      <c r="BE510" t="inlineStr">
        <is>
          <t>30001003472851</t>
        </is>
      </c>
      <c r="BF510" t="inlineStr">
        <is>
          <t>893450552</t>
        </is>
      </c>
    </row>
    <row r="511">
      <c r="A511" t="inlineStr">
        <is>
          <t>No</t>
        </is>
      </c>
      <c r="B511" t="inlineStr">
        <is>
          <t>CUHSL</t>
        </is>
      </c>
      <c r="C511" t="inlineStr">
        <is>
          <t>SHELVES</t>
        </is>
      </c>
      <c r="D511" t="inlineStr">
        <is>
          <t>W 50 P386p 1981</t>
        </is>
      </c>
      <c r="E511" t="inlineStr">
        <is>
          <t>0                      W  0050000P  386p        1981</t>
        </is>
      </c>
      <c r="F511" t="inlineStr">
        <is>
          <t>A philosophical basis of medical practice : toward a philosophy and ethic of the healing professions / Edmund D. Pellegrino and David C. Thomasma.</t>
        </is>
      </c>
      <c r="H511" t="inlineStr">
        <is>
          <t>No</t>
        </is>
      </c>
      <c r="I511" t="inlineStr">
        <is>
          <t>1</t>
        </is>
      </c>
      <c r="J511" t="inlineStr">
        <is>
          <t>Yes</t>
        </is>
      </c>
      <c r="K511" t="inlineStr">
        <is>
          <t>No</t>
        </is>
      </c>
      <c r="L511" t="inlineStr">
        <is>
          <t>0</t>
        </is>
      </c>
      <c r="M511" t="inlineStr">
        <is>
          <t>Pellegrino, Edmund D., 1920-2013.</t>
        </is>
      </c>
      <c r="N511" t="inlineStr">
        <is>
          <t>New York : Oxford Univ. Press, c1980.</t>
        </is>
      </c>
      <c r="O511" t="inlineStr">
        <is>
          <t>1981</t>
        </is>
      </c>
      <c r="Q511" t="inlineStr">
        <is>
          <t>eng</t>
        </is>
      </c>
      <c r="R511" t="inlineStr">
        <is>
          <t>xxu</t>
        </is>
      </c>
      <c r="T511" t="inlineStr">
        <is>
          <t xml:space="preserve">W  </t>
        </is>
      </c>
      <c r="U511" t="n">
        <v>10</v>
      </c>
      <c r="V511" t="n">
        <v>10</v>
      </c>
      <c r="W511" t="inlineStr">
        <is>
          <t>2009-04-14</t>
        </is>
      </c>
      <c r="X511" t="inlineStr">
        <is>
          <t>2009-04-14</t>
        </is>
      </c>
      <c r="Y511" t="inlineStr">
        <is>
          <t>1987-10-02</t>
        </is>
      </c>
      <c r="Z511" t="inlineStr">
        <is>
          <t>1987-10-02</t>
        </is>
      </c>
      <c r="AA511" t="n">
        <v>745</v>
      </c>
      <c r="AB511" t="n">
        <v>628</v>
      </c>
      <c r="AC511" t="n">
        <v>643</v>
      </c>
      <c r="AD511" t="n">
        <v>3</v>
      </c>
      <c r="AE511" t="n">
        <v>3</v>
      </c>
      <c r="AF511" t="n">
        <v>36</v>
      </c>
      <c r="AG511" t="n">
        <v>37</v>
      </c>
      <c r="AH511" t="n">
        <v>12</v>
      </c>
      <c r="AI511" t="n">
        <v>12</v>
      </c>
      <c r="AJ511" t="n">
        <v>9</v>
      </c>
      <c r="AK511" t="n">
        <v>10</v>
      </c>
      <c r="AL511" t="n">
        <v>22</v>
      </c>
      <c r="AM511" t="n">
        <v>23</v>
      </c>
      <c r="AN511" t="n">
        <v>1</v>
      </c>
      <c r="AO511" t="n">
        <v>1</v>
      </c>
      <c r="AP511" t="n">
        <v>2</v>
      </c>
      <c r="AQ511" t="n">
        <v>2</v>
      </c>
      <c r="AR511" t="inlineStr">
        <is>
          <t>No</t>
        </is>
      </c>
      <c r="AS511" t="inlineStr">
        <is>
          <t>Yes</t>
        </is>
      </c>
      <c r="AT511">
        <f>HYPERLINK("http://catalog.hathitrust.org/Record/000745277","HathiTrust Record")</f>
        <v/>
      </c>
      <c r="AU511">
        <f>HYPERLINK("https://creighton-primo.hosted.exlibrisgroup.com/primo-explore/search?tab=default_tab&amp;search_scope=EVERYTHING&amp;vid=01CRU&amp;lang=en_US&amp;offset=0&amp;query=any,contains,991001126219702656","Catalog Record")</f>
        <v/>
      </c>
      <c r="AV511">
        <f>HYPERLINK("http://www.worldcat.org/oclc/6487655","WorldCat Record")</f>
        <v/>
      </c>
      <c r="AW511" t="inlineStr">
        <is>
          <t>366276048:eng</t>
        </is>
      </c>
      <c r="AX511" t="inlineStr">
        <is>
          <t>6487655</t>
        </is>
      </c>
      <c r="AY511" t="inlineStr">
        <is>
          <t>991001126219702656</t>
        </is>
      </c>
      <c r="AZ511" t="inlineStr">
        <is>
          <t>991001126219702656</t>
        </is>
      </c>
      <c r="BA511" t="inlineStr">
        <is>
          <t>2256083950002656</t>
        </is>
      </c>
      <c r="BB511" t="inlineStr">
        <is>
          <t>BOOK</t>
        </is>
      </c>
      <c r="BD511" t="inlineStr">
        <is>
          <t>9780195027891</t>
        </is>
      </c>
      <c r="BE511" t="inlineStr">
        <is>
          <t>30001000279929</t>
        </is>
      </c>
      <c r="BF511" t="inlineStr">
        <is>
          <t>893268101</t>
        </is>
      </c>
    </row>
    <row r="512">
      <c r="A512" t="inlineStr">
        <is>
          <t>No</t>
        </is>
      </c>
      <c r="B512" t="inlineStr">
        <is>
          <t>CUHSL</t>
        </is>
      </c>
      <c r="C512" t="inlineStr">
        <is>
          <t>SHELVES</t>
        </is>
      </c>
      <c r="D512" t="inlineStr">
        <is>
          <t>W 50 P386v 1993</t>
        </is>
      </c>
      <c r="E512" t="inlineStr">
        <is>
          <t>0                      W  0050000P  386v        1993</t>
        </is>
      </c>
      <c r="F512" t="inlineStr">
        <is>
          <t>The virtues in medical practice / by Edmund D. Pellegrino and David C. Thomasma.</t>
        </is>
      </c>
      <c r="H512" t="inlineStr">
        <is>
          <t>No</t>
        </is>
      </c>
      <c r="I512" t="inlineStr">
        <is>
          <t>1</t>
        </is>
      </c>
      <c r="J512" t="inlineStr">
        <is>
          <t>No</t>
        </is>
      </c>
      <c r="K512" t="inlineStr">
        <is>
          <t>No</t>
        </is>
      </c>
      <c r="L512" t="inlineStr">
        <is>
          <t>1</t>
        </is>
      </c>
      <c r="M512" t="inlineStr">
        <is>
          <t>Pellegrino, Edmund D., 1920-2013.</t>
        </is>
      </c>
      <c r="N512" t="inlineStr">
        <is>
          <t>New York : Oxford University Press, c1993.</t>
        </is>
      </c>
      <c r="O512" t="inlineStr">
        <is>
          <t>1993</t>
        </is>
      </c>
      <c r="Q512" t="inlineStr">
        <is>
          <t>eng</t>
        </is>
      </c>
      <c r="R512" t="inlineStr">
        <is>
          <t>nyu</t>
        </is>
      </c>
      <c r="T512" t="inlineStr">
        <is>
          <t xml:space="preserve">W  </t>
        </is>
      </c>
      <c r="U512" t="n">
        <v>18</v>
      </c>
      <c r="V512" t="n">
        <v>18</v>
      </c>
      <c r="W512" t="inlineStr">
        <is>
          <t>2008-08-15</t>
        </is>
      </c>
      <c r="X512" t="inlineStr">
        <is>
          <t>2008-08-15</t>
        </is>
      </c>
      <c r="Y512" t="inlineStr">
        <is>
          <t>1993-07-13</t>
        </is>
      </c>
      <c r="Z512" t="inlineStr">
        <is>
          <t>1993-07-13</t>
        </is>
      </c>
      <c r="AA512" t="n">
        <v>441</v>
      </c>
      <c r="AB512" t="n">
        <v>347</v>
      </c>
      <c r="AC512" t="n">
        <v>1180</v>
      </c>
      <c r="AD512" t="n">
        <v>2</v>
      </c>
      <c r="AE512" t="n">
        <v>14</v>
      </c>
      <c r="AF512" t="n">
        <v>31</v>
      </c>
      <c r="AG512" t="n">
        <v>58</v>
      </c>
      <c r="AH512" t="n">
        <v>12</v>
      </c>
      <c r="AI512" t="n">
        <v>20</v>
      </c>
      <c r="AJ512" t="n">
        <v>7</v>
      </c>
      <c r="AK512" t="n">
        <v>12</v>
      </c>
      <c r="AL512" t="n">
        <v>20</v>
      </c>
      <c r="AM512" t="n">
        <v>24</v>
      </c>
      <c r="AN512" t="n">
        <v>1</v>
      </c>
      <c r="AO512" t="n">
        <v>12</v>
      </c>
      <c r="AP512" t="n">
        <v>2</v>
      </c>
      <c r="AQ512" t="n">
        <v>4</v>
      </c>
      <c r="AR512" t="inlineStr">
        <is>
          <t>No</t>
        </is>
      </c>
      <c r="AS512" t="inlineStr">
        <is>
          <t>No</t>
        </is>
      </c>
      <c r="AU512">
        <f>HYPERLINK("https://creighton-primo.hosted.exlibrisgroup.com/primo-explore/search?tab=default_tab&amp;search_scope=EVERYTHING&amp;vid=01CRU&amp;lang=en_US&amp;offset=0&amp;query=any,contains,991001480489702656","Catalog Record")</f>
        <v/>
      </c>
      <c r="AV512">
        <f>HYPERLINK("http://www.worldcat.org/oclc/27034250","WorldCat Record")</f>
        <v/>
      </c>
      <c r="AW512" t="inlineStr">
        <is>
          <t>327989:eng</t>
        </is>
      </c>
      <c r="AX512" t="inlineStr">
        <is>
          <t>27034250</t>
        </is>
      </c>
      <c r="AY512" t="inlineStr">
        <is>
          <t>991001480489702656</t>
        </is>
      </c>
      <c r="AZ512" t="inlineStr">
        <is>
          <t>991001480489702656</t>
        </is>
      </c>
      <c r="BA512" t="inlineStr">
        <is>
          <t>2267224220002656</t>
        </is>
      </c>
      <c r="BB512" t="inlineStr">
        <is>
          <t>BOOK</t>
        </is>
      </c>
      <c r="BD512" t="inlineStr">
        <is>
          <t>9780195082890</t>
        </is>
      </c>
      <c r="BE512" t="inlineStr">
        <is>
          <t>30001002569004</t>
        </is>
      </c>
      <c r="BF512" t="inlineStr">
        <is>
          <t>893374618</t>
        </is>
      </c>
    </row>
    <row r="513">
      <c r="A513" t="inlineStr">
        <is>
          <t>No</t>
        </is>
      </c>
      <c r="B513" t="inlineStr">
        <is>
          <t>CUHSL</t>
        </is>
      </c>
      <c r="C513" t="inlineStr">
        <is>
          <t>SHELVES</t>
        </is>
      </c>
      <c r="D513" t="inlineStr">
        <is>
          <t>W 50 P397e 1980</t>
        </is>
      </c>
      <c r="E513" t="inlineStr">
        <is>
          <t>0                      W  0050000P  397e        1980</t>
        </is>
      </c>
      <c r="F513" t="inlineStr">
        <is>
          <t>Ethical options in medicine / by Gregory E. Pence.</t>
        </is>
      </c>
      <c r="H513" t="inlineStr">
        <is>
          <t>No</t>
        </is>
      </c>
      <c r="I513" t="inlineStr">
        <is>
          <t>1</t>
        </is>
      </c>
      <c r="J513" t="inlineStr">
        <is>
          <t>Yes</t>
        </is>
      </c>
      <c r="K513" t="inlineStr">
        <is>
          <t>No</t>
        </is>
      </c>
      <c r="L513" t="inlineStr">
        <is>
          <t>0</t>
        </is>
      </c>
      <c r="M513" t="inlineStr">
        <is>
          <t>Pence, Gregory E.</t>
        </is>
      </c>
      <c r="N513" t="inlineStr">
        <is>
          <t>Oradell, N.J. : Medical Economics Co., Book Division, c1980.</t>
        </is>
      </c>
      <c r="O513" t="inlineStr">
        <is>
          <t>1980</t>
        </is>
      </c>
      <c r="Q513" t="inlineStr">
        <is>
          <t>eng</t>
        </is>
      </c>
      <c r="R513" t="inlineStr">
        <is>
          <t>xxu</t>
        </is>
      </c>
      <c r="T513" t="inlineStr">
        <is>
          <t xml:space="preserve">W  </t>
        </is>
      </c>
      <c r="U513" t="n">
        <v>14</v>
      </c>
      <c r="V513" t="n">
        <v>14</v>
      </c>
      <c r="W513" t="inlineStr">
        <is>
          <t>1994-03-30</t>
        </is>
      </c>
      <c r="X513" t="inlineStr">
        <is>
          <t>1994-03-30</t>
        </is>
      </c>
      <c r="Y513" t="inlineStr">
        <is>
          <t>1988-04-27</t>
        </is>
      </c>
      <c r="Z513" t="inlineStr">
        <is>
          <t>1988-04-27</t>
        </is>
      </c>
      <c r="AA513" t="n">
        <v>247</v>
      </c>
      <c r="AB513" t="n">
        <v>223</v>
      </c>
      <c r="AC513" t="n">
        <v>228</v>
      </c>
      <c r="AD513" t="n">
        <v>2</v>
      </c>
      <c r="AE513" t="n">
        <v>2</v>
      </c>
      <c r="AF513" t="n">
        <v>12</v>
      </c>
      <c r="AG513" t="n">
        <v>12</v>
      </c>
      <c r="AH513" t="n">
        <v>3</v>
      </c>
      <c r="AI513" t="n">
        <v>3</v>
      </c>
      <c r="AJ513" t="n">
        <v>3</v>
      </c>
      <c r="AK513" t="n">
        <v>3</v>
      </c>
      <c r="AL513" t="n">
        <v>8</v>
      </c>
      <c r="AM513" t="n">
        <v>8</v>
      </c>
      <c r="AN513" t="n">
        <v>0</v>
      </c>
      <c r="AO513" t="n">
        <v>0</v>
      </c>
      <c r="AP513" t="n">
        <v>2</v>
      </c>
      <c r="AQ513" t="n">
        <v>2</v>
      </c>
      <c r="AR513" t="inlineStr">
        <is>
          <t>No</t>
        </is>
      </c>
      <c r="AS513" t="inlineStr">
        <is>
          <t>No</t>
        </is>
      </c>
      <c r="AU513">
        <f>HYPERLINK("https://creighton-primo.hosted.exlibrisgroup.com/primo-explore/search?tab=default_tab&amp;search_scope=EVERYTHING&amp;vid=01CRU&amp;lang=en_US&amp;offset=0&amp;query=any,contains,991001126189702656","Catalog Record")</f>
        <v/>
      </c>
      <c r="AV513">
        <f>HYPERLINK("http://www.worldcat.org/oclc/6357394","WorldCat Record")</f>
        <v/>
      </c>
      <c r="AW513" t="inlineStr">
        <is>
          <t>21972575:eng</t>
        </is>
      </c>
      <c r="AX513" t="inlineStr">
        <is>
          <t>6357394</t>
        </is>
      </c>
      <c r="AY513" t="inlineStr">
        <is>
          <t>991001126189702656</t>
        </is>
      </c>
      <c r="AZ513" t="inlineStr">
        <is>
          <t>991001126189702656</t>
        </is>
      </c>
      <c r="BA513" t="inlineStr">
        <is>
          <t>2256590350002656</t>
        </is>
      </c>
      <c r="BB513" t="inlineStr">
        <is>
          <t>BOOK</t>
        </is>
      </c>
      <c r="BD513" t="inlineStr">
        <is>
          <t>9780874892338</t>
        </is>
      </c>
      <c r="BE513" t="inlineStr">
        <is>
          <t>30001000279911</t>
        </is>
      </c>
      <c r="BF513" t="inlineStr">
        <is>
          <t>893826469</t>
        </is>
      </c>
    </row>
    <row r="514">
      <c r="A514" t="inlineStr">
        <is>
          <t>No</t>
        </is>
      </c>
      <c r="B514" t="inlineStr">
        <is>
          <t>CUHSL</t>
        </is>
      </c>
      <c r="C514" t="inlineStr">
        <is>
          <t>SHELVES</t>
        </is>
      </c>
      <c r="D514" t="inlineStr">
        <is>
          <t>W 50 P451c 1992</t>
        </is>
      </c>
      <c r="E514" t="inlineStr">
        <is>
          <t>0                      W  0050000P  451c        1992</t>
        </is>
      </c>
      <c r="F514" t="inlineStr">
        <is>
          <t>Clinical medical ethics : cases in practice / Terry M. Perlin.</t>
        </is>
      </c>
      <c r="H514" t="inlineStr">
        <is>
          <t>No</t>
        </is>
      </c>
      <c r="I514" t="inlineStr">
        <is>
          <t>1</t>
        </is>
      </c>
      <c r="J514" t="inlineStr">
        <is>
          <t>No</t>
        </is>
      </c>
      <c r="K514" t="inlineStr">
        <is>
          <t>No</t>
        </is>
      </c>
      <c r="L514" t="inlineStr">
        <is>
          <t>0</t>
        </is>
      </c>
      <c r="M514" t="inlineStr">
        <is>
          <t>Perlin, Terry M., 1942-</t>
        </is>
      </c>
      <c r="N514" t="inlineStr">
        <is>
          <t>Boston : Little, Brown, c1992.</t>
        </is>
      </c>
      <c r="O514" t="inlineStr">
        <is>
          <t>1992</t>
        </is>
      </c>
      <c r="P514" t="inlineStr">
        <is>
          <t>1st ed.</t>
        </is>
      </c>
      <c r="Q514" t="inlineStr">
        <is>
          <t>eng</t>
        </is>
      </c>
      <c r="R514" t="inlineStr">
        <is>
          <t>mau</t>
        </is>
      </c>
      <c r="T514" t="inlineStr">
        <is>
          <t xml:space="preserve">W  </t>
        </is>
      </c>
      <c r="U514" t="n">
        <v>28</v>
      </c>
      <c r="V514" t="n">
        <v>28</v>
      </c>
      <c r="W514" t="inlineStr">
        <is>
          <t>2005-10-27</t>
        </is>
      </c>
      <c r="X514" t="inlineStr">
        <is>
          <t>2005-10-27</t>
        </is>
      </c>
      <c r="Y514" t="inlineStr">
        <is>
          <t>1995-07-19</t>
        </is>
      </c>
      <c r="Z514" t="inlineStr">
        <is>
          <t>1995-07-19</t>
        </is>
      </c>
      <c r="AA514" t="n">
        <v>225</v>
      </c>
      <c r="AB514" t="n">
        <v>180</v>
      </c>
      <c r="AC514" t="n">
        <v>180</v>
      </c>
      <c r="AD514" t="n">
        <v>1</v>
      </c>
      <c r="AE514" t="n">
        <v>1</v>
      </c>
      <c r="AF514" t="n">
        <v>8</v>
      </c>
      <c r="AG514" t="n">
        <v>8</v>
      </c>
      <c r="AH514" t="n">
        <v>3</v>
      </c>
      <c r="AI514" t="n">
        <v>3</v>
      </c>
      <c r="AJ514" t="n">
        <v>2</v>
      </c>
      <c r="AK514" t="n">
        <v>2</v>
      </c>
      <c r="AL514" t="n">
        <v>5</v>
      </c>
      <c r="AM514" t="n">
        <v>5</v>
      </c>
      <c r="AN514" t="n">
        <v>0</v>
      </c>
      <c r="AO514" t="n">
        <v>0</v>
      </c>
      <c r="AP514" t="n">
        <v>2</v>
      </c>
      <c r="AQ514" t="n">
        <v>2</v>
      </c>
      <c r="AR514" t="inlineStr">
        <is>
          <t>No</t>
        </is>
      </c>
      <c r="AS514" t="inlineStr">
        <is>
          <t>No</t>
        </is>
      </c>
      <c r="AU514">
        <f>HYPERLINK("https://creighton-primo.hosted.exlibrisgroup.com/primo-explore/search?tab=default_tab&amp;search_scope=EVERYTHING&amp;vid=01CRU&amp;lang=en_US&amp;offset=0&amp;query=any,contains,991001402349702656","Catalog Record")</f>
        <v/>
      </c>
      <c r="AV514">
        <f>HYPERLINK("http://www.worldcat.org/oclc/25629924","WorldCat Record")</f>
        <v/>
      </c>
      <c r="AW514" t="inlineStr">
        <is>
          <t>28288473:eng</t>
        </is>
      </c>
      <c r="AX514" t="inlineStr">
        <is>
          <t>25629924</t>
        </is>
      </c>
      <c r="AY514" t="inlineStr">
        <is>
          <t>991001402349702656</t>
        </is>
      </c>
      <c r="AZ514" t="inlineStr">
        <is>
          <t>991001402349702656</t>
        </is>
      </c>
      <c r="BA514" t="inlineStr">
        <is>
          <t>2259812870002656</t>
        </is>
      </c>
      <c r="BB514" t="inlineStr">
        <is>
          <t>BOOK</t>
        </is>
      </c>
      <c r="BD514" t="inlineStr">
        <is>
          <t>9780316699594</t>
        </is>
      </c>
      <c r="BE514" t="inlineStr">
        <is>
          <t>30001003148790</t>
        </is>
      </c>
      <c r="BF514" t="inlineStr">
        <is>
          <t>893816355</t>
        </is>
      </c>
    </row>
    <row r="515">
      <c r="A515" t="inlineStr">
        <is>
          <t>No</t>
        </is>
      </c>
      <c r="B515" t="inlineStr">
        <is>
          <t>CUHSL</t>
        </is>
      </c>
      <c r="C515" t="inlineStr">
        <is>
          <t>SHELVES</t>
        </is>
      </c>
      <c r="D515" t="inlineStr">
        <is>
          <t>W 50 P467 1988</t>
        </is>
      </c>
      <c r="E515" t="inlineStr">
        <is>
          <t>0                      W  0050000P  467         1988</t>
        </is>
      </c>
      <c r="F515" t="inlineStr">
        <is>
          <t>Personal choices and public commitments : perpectives on the medical humanities / edited by William J. Winslade.</t>
        </is>
      </c>
      <c r="H515" t="inlineStr">
        <is>
          <t>No</t>
        </is>
      </c>
      <c r="I515" t="inlineStr">
        <is>
          <t>1</t>
        </is>
      </c>
      <c r="J515" t="inlineStr">
        <is>
          <t>No</t>
        </is>
      </c>
      <c r="K515" t="inlineStr">
        <is>
          <t>No</t>
        </is>
      </c>
      <c r="L515" t="inlineStr">
        <is>
          <t>0</t>
        </is>
      </c>
      <c r="N515" t="inlineStr">
        <is>
          <t>Galveston, Tex. : Institute for the Medical Humanities ; Austin, Tex. : Texas Committee for the Humanities, c1988.</t>
        </is>
      </c>
      <c r="O515" t="inlineStr">
        <is>
          <t>1988</t>
        </is>
      </c>
      <c r="Q515" t="inlineStr">
        <is>
          <t>eng</t>
        </is>
      </c>
      <c r="R515" t="inlineStr">
        <is>
          <t>xxu</t>
        </is>
      </c>
      <c r="T515" t="inlineStr">
        <is>
          <t xml:space="preserve">W  </t>
        </is>
      </c>
      <c r="U515" t="n">
        <v>8</v>
      </c>
      <c r="V515" t="n">
        <v>8</v>
      </c>
      <c r="W515" t="inlineStr">
        <is>
          <t>1993-04-02</t>
        </is>
      </c>
      <c r="X515" t="inlineStr">
        <is>
          <t>1993-04-02</t>
        </is>
      </c>
      <c r="Y515" t="inlineStr">
        <is>
          <t>1989-11-30</t>
        </is>
      </c>
      <c r="Z515" t="inlineStr">
        <is>
          <t>1989-11-30</t>
        </is>
      </c>
      <c r="AA515" t="n">
        <v>56</v>
      </c>
      <c r="AB515" t="n">
        <v>50</v>
      </c>
      <c r="AC515" t="n">
        <v>50</v>
      </c>
      <c r="AD515" t="n">
        <v>1</v>
      </c>
      <c r="AE515" t="n">
        <v>1</v>
      </c>
      <c r="AF515" t="n">
        <v>1</v>
      </c>
      <c r="AG515" t="n">
        <v>1</v>
      </c>
      <c r="AH515" t="n">
        <v>0</v>
      </c>
      <c r="AI515" t="n">
        <v>0</v>
      </c>
      <c r="AJ515" t="n">
        <v>1</v>
      </c>
      <c r="AK515" t="n">
        <v>1</v>
      </c>
      <c r="AL515" t="n">
        <v>1</v>
      </c>
      <c r="AM515" t="n">
        <v>1</v>
      </c>
      <c r="AN515" t="n">
        <v>0</v>
      </c>
      <c r="AO515" t="n">
        <v>0</v>
      </c>
      <c r="AP515" t="n">
        <v>0</v>
      </c>
      <c r="AQ515" t="n">
        <v>0</v>
      </c>
      <c r="AR515" t="inlineStr">
        <is>
          <t>No</t>
        </is>
      </c>
      <c r="AS515" t="inlineStr">
        <is>
          <t>No</t>
        </is>
      </c>
      <c r="AU515">
        <f>HYPERLINK("https://creighton-primo.hosted.exlibrisgroup.com/primo-explore/search?tab=default_tab&amp;search_scope=EVERYTHING&amp;vid=01CRU&amp;lang=en_US&amp;offset=0&amp;query=any,contains,991001357949702656","Catalog Record")</f>
        <v/>
      </c>
      <c r="AV515">
        <f>HYPERLINK("http://www.worldcat.org/oclc/18834388","WorldCat Record")</f>
        <v/>
      </c>
      <c r="AW515" t="inlineStr">
        <is>
          <t>18965685:eng</t>
        </is>
      </c>
      <c r="AX515" t="inlineStr">
        <is>
          <t>18834388</t>
        </is>
      </c>
      <c r="AY515" t="inlineStr">
        <is>
          <t>991001357949702656</t>
        </is>
      </c>
      <c r="AZ515" t="inlineStr">
        <is>
          <t>991001357949702656</t>
        </is>
      </c>
      <c r="BA515" t="inlineStr">
        <is>
          <t>2260517310002656</t>
        </is>
      </c>
      <c r="BB515" t="inlineStr">
        <is>
          <t>BOOK</t>
        </is>
      </c>
      <c r="BD515" t="inlineStr">
        <is>
          <t>9780962129407</t>
        </is>
      </c>
      <c r="BE515" t="inlineStr">
        <is>
          <t>30001001796293</t>
        </is>
      </c>
      <c r="BF515" t="inlineStr">
        <is>
          <t>893643524</t>
        </is>
      </c>
    </row>
    <row r="516">
      <c r="A516" t="inlineStr">
        <is>
          <t>No</t>
        </is>
      </c>
      <c r="B516" t="inlineStr">
        <is>
          <t>CUHSL</t>
        </is>
      </c>
      <c r="C516" t="inlineStr">
        <is>
          <t>SHELVES</t>
        </is>
      </c>
      <c r="D516" t="inlineStr">
        <is>
          <t>W 50 P562a 1989</t>
        </is>
      </c>
      <c r="E516" t="inlineStr">
        <is>
          <t>0                      W  0050000P  562a        1989</t>
        </is>
      </c>
      <c r="F516" t="inlineStr">
        <is>
          <t>Animal research and ethical conflict : an analysis of the scientific literature, 1966-1986 / Mary T. Phillips, Jeri A. Sechzer.</t>
        </is>
      </c>
      <c r="H516" t="inlineStr">
        <is>
          <t>No</t>
        </is>
      </c>
      <c r="I516" t="inlineStr">
        <is>
          <t>1</t>
        </is>
      </c>
      <c r="J516" t="inlineStr">
        <is>
          <t>No</t>
        </is>
      </c>
      <c r="K516" t="inlineStr">
        <is>
          <t>No</t>
        </is>
      </c>
      <c r="L516" t="inlineStr">
        <is>
          <t>0</t>
        </is>
      </c>
      <c r="M516" t="inlineStr">
        <is>
          <t>Phillips, Mary T.</t>
        </is>
      </c>
      <c r="N516" t="inlineStr">
        <is>
          <t>New York : Springer-Verlag, c1989.</t>
        </is>
      </c>
      <c r="O516" t="inlineStr">
        <is>
          <t>1989</t>
        </is>
      </c>
      <c r="Q516" t="inlineStr">
        <is>
          <t>eng</t>
        </is>
      </c>
      <c r="R516" t="inlineStr">
        <is>
          <t>nyu</t>
        </is>
      </c>
      <c r="T516" t="inlineStr">
        <is>
          <t xml:space="preserve">W  </t>
        </is>
      </c>
      <c r="U516" t="n">
        <v>29</v>
      </c>
      <c r="V516" t="n">
        <v>29</v>
      </c>
      <c r="W516" t="inlineStr">
        <is>
          <t>1998-11-08</t>
        </is>
      </c>
      <c r="X516" t="inlineStr">
        <is>
          <t>1998-11-08</t>
        </is>
      </c>
      <c r="Y516" t="inlineStr">
        <is>
          <t>1990-01-17</t>
        </is>
      </c>
      <c r="Z516" t="inlineStr">
        <is>
          <t>1990-01-17</t>
        </is>
      </c>
      <c r="AA516" t="n">
        <v>322</v>
      </c>
      <c r="AB516" t="n">
        <v>235</v>
      </c>
      <c r="AC516" t="n">
        <v>245</v>
      </c>
      <c r="AD516" t="n">
        <v>3</v>
      </c>
      <c r="AE516" t="n">
        <v>3</v>
      </c>
      <c r="AF516" t="n">
        <v>6</v>
      </c>
      <c r="AG516" t="n">
        <v>7</v>
      </c>
      <c r="AH516" t="n">
        <v>0</v>
      </c>
      <c r="AI516" t="n">
        <v>1</v>
      </c>
      <c r="AJ516" t="n">
        <v>1</v>
      </c>
      <c r="AK516" t="n">
        <v>1</v>
      </c>
      <c r="AL516" t="n">
        <v>3</v>
      </c>
      <c r="AM516" t="n">
        <v>4</v>
      </c>
      <c r="AN516" t="n">
        <v>2</v>
      </c>
      <c r="AO516" t="n">
        <v>2</v>
      </c>
      <c r="AP516" t="n">
        <v>0</v>
      </c>
      <c r="AQ516" t="n">
        <v>0</v>
      </c>
      <c r="AR516" t="inlineStr">
        <is>
          <t>No</t>
        </is>
      </c>
      <c r="AS516" t="inlineStr">
        <is>
          <t>No</t>
        </is>
      </c>
      <c r="AU516">
        <f>HYPERLINK("https://creighton-primo.hosted.exlibrisgroup.com/primo-explore/search?tab=default_tab&amp;search_scope=EVERYTHING&amp;vid=01CRU&amp;lang=en_US&amp;offset=0&amp;query=any,contains,991000498219702656","Catalog Record")</f>
        <v/>
      </c>
      <c r="AV516">
        <f>HYPERLINK("http://www.worldcat.org/oclc/19130594","WorldCat Record")</f>
        <v/>
      </c>
      <c r="AW516" t="inlineStr">
        <is>
          <t>890405097:eng</t>
        </is>
      </c>
      <c r="AX516" t="inlineStr">
        <is>
          <t>19130594</t>
        </is>
      </c>
      <c r="AY516" t="inlineStr">
        <is>
          <t>991000498219702656</t>
        </is>
      </c>
      <c r="AZ516" t="inlineStr">
        <is>
          <t>991000498219702656</t>
        </is>
      </c>
      <c r="BA516" t="inlineStr">
        <is>
          <t>2261738840002656</t>
        </is>
      </c>
      <c r="BB516" t="inlineStr">
        <is>
          <t>BOOK</t>
        </is>
      </c>
      <c r="BD516" t="inlineStr">
        <is>
          <t>9780387969350</t>
        </is>
      </c>
      <c r="BE516" t="inlineStr">
        <is>
          <t>30001001799693</t>
        </is>
      </c>
      <c r="BF516" t="inlineStr">
        <is>
          <t>893537665</t>
        </is>
      </c>
    </row>
    <row r="517">
      <c r="A517" t="inlineStr">
        <is>
          <t>No</t>
        </is>
      </c>
      <c r="B517" t="inlineStr">
        <is>
          <t>CUHSL</t>
        </is>
      </c>
      <c r="C517" t="inlineStr">
        <is>
          <t>SHELVES</t>
        </is>
      </c>
      <c r="D517" t="inlineStr">
        <is>
          <t>W 50 P591L 1984</t>
        </is>
      </c>
      <c r="E517" t="inlineStr">
        <is>
          <t>0                      W  0050000P  591L        1984</t>
        </is>
      </c>
      <c r="F517" t="inlineStr">
        <is>
          <t>Last rights : treatment and care issues in medical ethics / Joseph J. Piccione.</t>
        </is>
      </c>
      <c r="H517" t="inlineStr">
        <is>
          <t>No</t>
        </is>
      </c>
      <c r="I517" t="inlineStr">
        <is>
          <t>1</t>
        </is>
      </c>
      <c r="J517" t="inlineStr">
        <is>
          <t>No</t>
        </is>
      </c>
      <c r="K517" t="inlineStr">
        <is>
          <t>No</t>
        </is>
      </c>
      <c r="L517" t="inlineStr">
        <is>
          <t>0</t>
        </is>
      </c>
      <c r="M517" t="inlineStr">
        <is>
          <t>Piccione, Joseph.</t>
        </is>
      </c>
      <c r="N517" t="inlineStr">
        <is>
          <t>Washington, D.C. : Child and Family Protection Institute of the Free Congress Research &amp; Education Foundation, c1984.</t>
        </is>
      </c>
      <c r="O517" t="inlineStr">
        <is>
          <t>1984</t>
        </is>
      </c>
      <c r="Q517" t="inlineStr">
        <is>
          <t>eng</t>
        </is>
      </c>
      <c r="R517" t="inlineStr">
        <is>
          <t>dcu</t>
        </is>
      </c>
      <c r="S517" t="inlineStr">
        <is>
          <t>Currents in family policy</t>
        </is>
      </c>
      <c r="T517" t="inlineStr">
        <is>
          <t xml:space="preserve">W  </t>
        </is>
      </c>
      <c r="U517" t="n">
        <v>5</v>
      </c>
      <c r="V517" t="n">
        <v>5</v>
      </c>
      <c r="W517" t="inlineStr">
        <is>
          <t>1996-01-17</t>
        </is>
      </c>
      <c r="X517" t="inlineStr">
        <is>
          <t>1996-01-17</t>
        </is>
      </c>
      <c r="Y517" t="inlineStr">
        <is>
          <t>1989-07-13</t>
        </is>
      </c>
      <c r="Z517" t="inlineStr">
        <is>
          <t>1989-07-13</t>
        </is>
      </c>
      <c r="AA517" t="n">
        <v>43</v>
      </c>
      <c r="AB517" t="n">
        <v>42</v>
      </c>
      <c r="AC517" t="n">
        <v>44</v>
      </c>
      <c r="AD517" t="n">
        <v>1</v>
      </c>
      <c r="AE517" t="n">
        <v>1</v>
      </c>
      <c r="AF517" t="n">
        <v>3</v>
      </c>
      <c r="AG517" t="n">
        <v>3</v>
      </c>
      <c r="AH517" t="n">
        <v>0</v>
      </c>
      <c r="AI517" t="n">
        <v>0</v>
      </c>
      <c r="AJ517" t="n">
        <v>0</v>
      </c>
      <c r="AK517" t="n">
        <v>0</v>
      </c>
      <c r="AL517" t="n">
        <v>1</v>
      </c>
      <c r="AM517" t="n">
        <v>1</v>
      </c>
      <c r="AN517" t="n">
        <v>0</v>
      </c>
      <c r="AO517" t="n">
        <v>0</v>
      </c>
      <c r="AP517" t="n">
        <v>2</v>
      </c>
      <c r="AQ517" t="n">
        <v>2</v>
      </c>
      <c r="AR517" t="inlineStr">
        <is>
          <t>No</t>
        </is>
      </c>
      <c r="AS517" t="inlineStr">
        <is>
          <t>Yes</t>
        </is>
      </c>
      <c r="AT517">
        <f>HYPERLINK("http://catalog.hathitrust.org/Record/000164396","HathiTrust Record")</f>
        <v/>
      </c>
      <c r="AU517">
        <f>HYPERLINK("https://creighton-primo.hosted.exlibrisgroup.com/primo-explore/search?tab=default_tab&amp;search_scope=EVERYTHING&amp;vid=01CRU&amp;lang=en_US&amp;offset=0&amp;query=any,contains,991001126169702656","Catalog Record")</f>
        <v/>
      </c>
      <c r="AV517">
        <f>HYPERLINK("http://www.worldcat.org/oclc/10779570","WorldCat Record")</f>
        <v/>
      </c>
      <c r="AW517" t="inlineStr">
        <is>
          <t>3512005:eng</t>
        </is>
      </c>
      <c r="AX517" t="inlineStr">
        <is>
          <t>10779570</t>
        </is>
      </c>
      <c r="AY517" t="inlineStr">
        <is>
          <t>991001126169702656</t>
        </is>
      </c>
      <c r="AZ517" t="inlineStr">
        <is>
          <t>991001126169702656</t>
        </is>
      </c>
      <c r="BA517" t="inlineStr">
        <is>
          <t>2268607200002656</t>
        </is>
      </c>
      <c r="BB517" t="inlineStr">
        <is>
          <t>BOOK</t>
        </is>
      </c>
      <c r="BE517" t="inlineStr">
        <is>
          <t>30001000279895</t>
        </is>
      </c>
      <c r="BF517" t="inlineStr">
        <is>
          <t>893557609</t>
        </is>
      </c>
    </row>
    <row r="518">
      <c r="A518" t="inlineStr">
        <is>
          <t>No</t>
        </is>
      </c>
      <c r="B518" t="inlineStr">
        <is>
          <t>CUHSL</t>
        </is>
      </c>
      <c r="C518" t="inlineStr">
        <is>
          <t>SHELVES</t>
        </is>
      </c>
      <c r="D518" t="inlineStr">
        <is>
          <t>W50 P857i 1993</t>
        </is>
      </c>
      <c r="E518" t="inlineStr">
        <is>
          <t>0                      W  0050000P  857i        1993</t>
        </is>
      </c>
      <c r="F518" t="inlineStr">
        <is>
          <t>Inquiries in bioethics / Stephen G. Post.</t>
        </is>
      </c>
      <c r="H518" t="inlineStr">
        <is>
          <t>No</t>
        </is>
      </c>
      <c r="I518" t="inlineStr">
        <is>
          <t>2</t>
        </is>
      </c>
      <c r="J518" t="inlineStr">
        <is>
          <t>Yes</t>
        </is>
      </c>
      <c r="K518" t="inlineStr">
        <is>
          <t>No</t>
        </is>
      </c>
      <c r="L518" t="inlineStr">
        <is>
          <t>0</t>
        </is>
      </c>
      <c r="M518" t="inlineStr">
        <is>
          <t>Post, Stephen Garrard, 1951-</t>
        </is>
      </c>
      <c r="N518" t="inlineStr">
        <is>
          <t>Washington, D.C. : Georgetown University Press, c1993.</t>
        </is>
      </c>
      <c r="O518" t="inlineStr">
        <is>
          <t>1993</t>
        </is>
      </c>
      <c r="Q518" t="inlineStr">
        <is>
          <t>eng</t>
        </is>
      </c>
      <c r="R518" t="inlineStr">
        <is>
          <t>dcu</t>
        </is>
      </c>
      <c r="T518" t="inlineStr">
        <is>
          <t xml:space="preserve">W  </t>
        </is>
      </c>
      <c r="U518" t="n">
        <v>1</v>
      </c>
      <c r="V518" t="n">
        <v>5</v>
      </c>
      <c r="X518" t="inlineStr">
        <is>
          <t>1999-01-26</t>
        </is>
      </c>
      <c r="Y518" t="inlineStr">
        <is>
          <t>2001-02-14</t>
        </is>
      </c>
      <c r="Z518" t="inlineStr">
        <is>
          <t>2001-02-14</t>
        </is>
      </c>
      <c r="AA518" t="n">
        <v>459</v>
      </c>
      <c r="AB518" t="n">
        <v>395</v>
      </c>
      <c r="AC518" t="n">
        <v>397</v>
      </c>
      <c r="AD518" t="n">
        <v>1</v>
      </c>
      <c r="AE518" t="n">
        <v>1</v>
      </c>
      <c r="AF518" t="n">
        <v>23</v>
      </c>
      <c r="AG518" t="n">
        <v>23</v>
      </c>
      <c r="AH518" t="n">
        <v>6</v>
      </c>
      <c r="AI518" t="n">
        <v>6</v>
      </c>
      <c r="AJ518" t="n">
        <v>5</v>
      </c>
      <c r="AK518" t="n">
        <v>5</v>
      </c>
      <c r="AL518" t="n">
        <v>16</v>
      </c>
      <c r="AM518" t="n">
        <v>16</v>
      </c>
      <c r="AN518" t="n">
        <v>0</v>
      </c>
      <c r="AO518" t="n">
        <v>0</v>
      </c>
      <c r="AP518" t="n">
        <v>3</v>
      </c>
      <c r="AQ518" t="n">
        <v>3</v>
      </c>
      <c r="AR518" t="inlineStr">
        <is>
          <t>No</t>
        </is>
      </c>
      <c r="AS518" t="inlineStr">
        <is>
          <t>Yes</t>
        </is>
      </c>
      <c r="AT518">
        <f>HYPERLINK("http://catalog.hathitrust.org/Record/002730339","HathiTrust Record")</f>
        <v/>
      </c>
      <c r="AU518">
        <f>HYPERLINK("https://creighton-primo.hosted.exlibrisgroup.com/primo-explore/search?tab=default_tab&amp;search_scope=EVERYTHING&amp;vid=01CRU&amp;lang=en_US&amp;offset=0&amp;query=any,contains,991001199119702656","Catalog Record")</f>
        <v/>
      </c>
      <c r="AV518">
        <f>HYPERLINK("http://www.worldcat.org/oclc/27974232","WorldCat Record")</f>
        <v/>
      </c>
      <c r="AW518" t="inlineStr">
        <is>
          <t>376776:eng</t>
        </is>
      </c>
      <c r="AX518" t="inlineStr">
        <is>
          <t>27974232</t>
        </is>
      </c>
      <c r="AY518" t="inlineStr">
        <is>
          <t>991001199119702656</t>
        </is>
      </c>
      <c r="AZ518" t="inlineStr">
        <is>
          <t>991001199119702656</t>
        </is>
      </c>
      <c r="BA518" t="inlineStr">
        <is>
          <t>2264243640002656</t>
        </is>
      </c>
      <c r="BB518" t="inlineStr">
        <is>
          <t>BOOK</t>
        </is>
      </c>
      <c r="BD518" t="inlineStr">
        <is>
          <t>9780878405381</t>
        </is>
      </c>
      <c r="BE518" t="inlineStr">
        <is>
          <t>30001004355634</t>
        </is>
      </c>
      <c r="BF518" t="inlineStr">
        <is>
          <t>893168058</t>
        </is>
      </c>
    </row>
    <row r="519">
      <c r="A519" t="inlineStr">
        <is>
          <t>No</t>
        </is>
      </c>
      <c r="B519" t="inlineStr">
        <is>
          <t>CUHSL</t>
        </is>
      </c>
      <c r="C519" t="inlineStr">
        <is>
          <t>SHELVES</t>
        </is>
      </c>
      <c r="D519" t="inlineStr">
        <is>
          <t>W50 P857i 1993</t>
        </is>
      </c>
      <c r="E519" t="inlineStr">
        <is>
          <t>0                      W  0050000P  857i        1993</t>
        </is>
      </c>
      <c r="F519" t="inlineStr">
        <is>
          <t>Inquiries in bioethics / Stephen G. Post.</t>
        </is>
      </c>
      <c r="H519" t="inlineStr">
        <is>
          <t>No</t>
        </is>
      </c>
      <c r="I519" t="inlineStr">
        <is>
          <t>1</t>
        </is>
      </c>
      <c r="J519" t="inlineStr">
        <is>
          <t>Yes</t>
        </is>
      </c>
      <c r="K519" t="inlineStr">
        <is>
          <t>No</t>
        </is>
      </c>
      <c r="L519" t="inlineStr">
        <is>
          <t>0</t>
        </is>
      </c>
      <c r="M519" t="inlineStr">
        <is>
          <t>Post, Stephen Garrard, 1951-</t>
        </is>
      </c>
      <c r="N519" t="inlineStr">
        <is>
          <t>Washington, D.C. : Georgetown University Press, c1993.</t>
        </is>
      </c>
      <c r="O519" t="inlineStr">
        <is>
          <t>1993</t>
        </is>
      </c>
      <c r="Q519" t="inlineStr">
        <is>
          <t>eng</t>
        </is>
      </c>
      <c r="R519" t="inlineStr">
        <is>
          <t>dcu</t>
        </is>
      </c>
      <c r="T519" t="inlineStr">
        <is>
          <t xml:space="preserve">W  </t>
        </is>
      </c>
      <c r="U519" t="n">
        <v>4</v>
      </c>
      <c r="V519" t="n">
        <v>5</v>
      </c>
      <c r="W519" t="inlineStr">
        <is>
          <t>1999-01-26</t>
        </is>
      </c>
      <c r="X519" t="inlineStr">
        <is>
          <t>1999-01-26</t>
        </is>
      </c>
      <c r="Y519" t="inlineStr">
        <is>
          <t>1997-12-15</t>
        </is>
      </c>
      <c r="Z519" t="inlineStr">
        <is>
          <t>2001-02-14</t>
        </is>
      </c>
      <c r="AA519" t="n">
        <v>459</v>
      </c>
      <c r="AB519" t="n">
        <v>395</v>
      </c>
      <c r="AC519" t="n">
        <v>397</v>
      </c>
      <c r="AD519" t="n">
        <v>1</v>
      </c>
      <c r="AE519" t="n">
        <v>1</v>
      </c>
      <c r="AF519" t="n">
        <v>23</v>
      </c>
      <c r="AG519" t="n">
        <v>23</v>
      </c>
      <c r="AH519" t="n">
        <v>6</v>
      </c>
      <c r="AI519" t="n">
        <v>6</v>
      </c>
      <c r="AJ519" t="n">
        <v>5</v>
      </c>
      <c r="AK519" t="n">
        <v>5</v>
      </c>
      <c r="AL519" t="n">
        <v>16</v>
      </c>
      <c r="AM519" t="n">
        <v>16</v>
      </c>
      <c r="AN519" t="n">
        <v>0</v>
      </c>
      <c r="AO519" t="n">
        <v>0</v>
      </c>
      <c r="AP519" t="n">
        <v>3</v>
      </c>
      <c r="AQ519" t="n">
        <v>3</v>
      </c>
      <c r="AR519" t="inlineStr">
        <is>
          <t>No</t>
        </is>
      </c>
      <c r="AS519" t="inlineStr">
        <is>
          <t>Yes</t>
        </is>
      </c>
      <c r="AT519">
        <f>HYPERLINK("http://catalog.hathitrust.org/Record/002730339","HathiTrust Record")</f>
        <v/>
      </c>
      <c r="AU519">
        <f>HYPERLINK("https://creighton-primo.hosted.exlibrisgroup.com/primo-explore/search?tab=default_tab&amp;search_scope=EVERYTHING&amp;vid=01CRU&amp;lang=en_US&amp;offset=0&amp;query=any,contains,991001199119702656","Catalog Record")</f>
        <v/>
      </c>
      <c r="AV519">
        <f>HYPERLINK("http://www.worldcat.org/oclc/27974232","WorldCat Record")</f>
        <v/>
      </c>
      <c r="AW519" t="inlineStr">
        <is>
          <t>376776:eng</t>
        </is>
      </c>
      <c r="AX519" t="inlineStr">
        <is>
          <t>27974232</t>
        </is>
      </c>
      <c r="AY519" t="inlineStr">
        <is>
          <t>991001199119702656</t>
        </is>
      </c>
      <c r="AZ519" t="inlineStr">
        <is>
          <t>991001199119702656</t>
        </is>
      </c>
      <c r="BA519" t="inlineStr">
        <is>
          <t>2264243640002656</t>
        </is>
      </c>
      <c r="BB519" t="inlineStr">
        <is>
          <t>BOOK</t>
        </is>
      </c>
      <c r="BD519" t="inlineStr">
        <is>
          <t>9780878405381</t>
        </is>
      </c>
      <c r="BE519" t="inlineStr">
        <is>
          <t>30001003654110</t>
        </is>
      </c>
      <c r="BF519" t="inlineStr">
        <is>
          <t>893134335</t>
        </is>
      </c>
    </row>
    <row r="520">
      <c r="A520" t="inlineStr">
        <is>
          <t>No</t>
        </is>
      </c>
      <c r="B520" t="inlineStr">
        <is>
          <t>CUHSL</t>
        </is>
      </c>
      <c r="C520" t="inlineStr">
        <is>
          <t>SHELVES</t>
        </is>
      </c>
      <c r="D520" t="inlineStr">
        <is>
          <t>W 50 P957 1994</t>
        </is>
      </c>
      <c r="E520" t="inlineStr">
        <is>
          <t>0                      W  0050000P  957         1994</t>
        </is>
      </c>
      <c r="F520" t="inlineStr">
        <is>
          <t>Principles of health care ethics / edited by Raanan Gillon; assistant editor, Ann Lloyd Ba.</t>
        </is>
      </c>
      <c r="H520" t="inlineStr">
        <is>
          <t>No</t>
        </is>
      </c>
      <c r="I520" t="inlineStr">
        <is>
          <t>1</t>
        </is>
      </c>
      <c r="J520" t="inlineStr">
        <is>
          <t>No</t>
        </is>
      </c>
      <c r="K520" t="inlineStr">
        <is>
          <t>No</t>
        </is>
      </c>
      <c r="L520" t="inlineStr">
        <is>
          <t>0</t>
        </is>
      </c>
      <c r="N520" t="inlineStr">
        <is>
          <t>Chichester [England ; New York : John Wiley &amp; Sons, c1994.</t>
        </is>
      </c>
      <c r="O520" t="inlineStr">
        <is>
          <t>1994</t>
        </is>
      </c>
      <c r="Q520" t="inlineStr">
        <is>
          <t>eng</t>
        </is>
      </c>
      <c r="R520" t="inlineStr">
        <is>
          <t>enk</t>
        </is>
      </c>
      <c r="T520" t="inlineStr">
        <is>
          <t xml:space="preserve">W  </t>
        </is>
      </c>
      <c r="U520" t="n">
        <v>54</v>
      </c>
      <c r="V520" t="n">
        <v>54</v>
      </c>
      <c r="W520" t="inlineStr">
        <is>
          <t>2004-05-03</t>
        </is>
      </c>
      <c r="X520" t="inlineStr">
        <is>
          <t>2004-05-03</t>
        </is>
      </c>
      <c r="Y520" t="inlineStr">
        <is>
          <t>1994-03-14</t>
        </is>
      </c>
      <c r="Z520" t="inlineStr">
        <is>
          <t>1994-03-14</t>
        </is>
      </c>
      <c r="AA520" t="n">
        <v>286</v>
      </c>
      <c r="AB520" t="n">
        <v>173</v>
      </c>
      <c r="AC520" t="n">
        <v>240</v>
      </c>
      <c r="AD520" t="n">
        <v>1</v>
      </c>
      <c r="AE520" t="n">
        <v>1</v>
      </c>
      <c r="AF520" t="n">
        <v>10</v>
      </c>
      <c r="AG520" t="n">
        <v>12</v>
      </c>
      <c r="AH520" t="n">
        <v>2</v>
      </c>
      <c r="AI520" t="n">
        <v>2</v>
      </c>
      <c r="AJ520" t="n">
        <v>4</v>
      </c>
      <c r="AK520" t="n">
        <v>6</v>
      </c>
      <c r="AL520" t="n">
        <v>7</v>
      </c>
      <c r="AM520" t="n">
        <v>9</v>
      </c>
      <c r="AN520" t="n">
        <v>0</v>
      </c>
      <c r="AO520" t="n">
        <v>0</v>
      </c>
      <c r="AP520" t="n">
        <v>0</v>
      </c>
      <c r="AQ520" t="n">
        <v>0</v>
      </c>
      <c r="AR520" t="inlineStr">
        <is>
          <t>No</t>
        </is>
      </c>
      <c r="AS520" t="inlineStr">
        <is>
          <t>Yes</t>
        </is>
      </c>
      <c r="AT520">
        <f>HYPERLINK("http://catalog.hathitrust.org/Record/004552497","HathiTrust Record")</f>
        <v/>
      </c>
      <c r="AU520">
        <f>HYPERLINK("https://creighton-primo.hosted.exlibrisgroup.com/primo-explore/search?tab=default_tab&amp;search_scope=EVERYTHING&amp;vid=01CRU&amp;lang=en_US&amp;offset=0&amp;query=any,contains,991001196839702656","Catalog Record")</f>
        <v/>
      </c>
      <c r="AV520">
        <f>HYPERLINK("http://www.worldcat.org/oclc/26096024","WorldCat Record")</f>
        <v/>
      </c>
      <c r="AW520" t="inlineStr">
        <is>
          <t>350550933:eng</t>
        </is>
      </c>
      <c r="AX520" t="inlineStr">
        <is>
          <t>26096024</t>
        </is>
      </c>
      <c r="AY520" t="inlineStr">
        <is>
          <t>991001196839702656</t>
        </is>
      </c>
      <c r="AZ520" t="inlineStr">
        <is>
          <t>991001196839702656</t>
        </is>
      </c>
      <c r="BA520" t="inlineStr">
        <is>
          <t>2268248500002656</t>
        </is>
      </c>
      <c r="BB520" t="inlineStr">
        <is>
          <t>BOOK</t>
        </is>
      </c>
      <c r="BD520" t="inlineStr">
        <is>
          <t>9780471930334</t>
        </is>
      </c>
      <c r="BE520" t="inlineStr">
        <is>
          <t>30001002984815</t>
        </is>
      </c>
      <c r="BF520" t="inlineStr">
        <is>
          <t>893363859</t>
        </is>
      </c>
    </row>
    <row r="521">
      <c r="A521" t="inlineStr">
        <is>
          <t>No</t>
        </is>
      </c>
      <c r="B521" t="inlineStr">
        <is>
          <t>CUHSL</t>
        </is>
      </c>
      <c r="C521" t="inlineStr">
        <is>
          <t>SHELVES</t>
        </is>
      </c>
      <c r="D521" t="inlineStr">
        <is>
          <t>W 50 P986e 1981</t>
        </is>
      </c>
      <c r="E521" t="inlineStr">
        <is>
          <t>0                      W  0050000P  986e        1981</t>
        </is>
      </c>
      <c r="F521" t="inlineStr">
        <is>
          <t>Ethical dimensions in the health professions / Ruth B. Purtilo, Christine C. Cassell.</t>
        </is>
      </c>
      <c r="H521" t="inlineStr">
        <is>
          <t>No</t>
        </is>
      </c>
      <c r="I521" t="inlineStr">
        <is>
          <t>1</t>
        </is>
      </c>
      <c r="J521" t="inlineStr">
        <is>
          <t>No</t>
        </is>
      </c>
      <c r="K521" t="inlineStr">
        <is>
          <t>Yes</t>
        </is>
      </c>
      <c r="L521" t="inlineStr">
        <is>
          <t>0</t>
        </is>
      </c>
      <c r="M521" t="inlineStr">
        <is>
          <t>Purtilo, Ruth B.</t>
        </is>
      </c>
      <c r="N521" t="inlineStr">
        <is>
          <t>Philadelphia : Saunders, c1981.</t>
        </is>
      </c>
      <c r="O521" t="inlineStr">
        <is>
          <t>1981</t>
        </is>
      </c>
      <c r="Q521" t="inlineStr">
        <is>
          <t>eng</t>
        </is>
      </c>
      <c r="R521" t="inlineStr">
        <is>
          <t>xxu</t>
        </is>
      </c>
      <c r="T521" t="inlineStr">
        <is>
          <t xml:space="preserve">W  </t>
        </is>
      </c>
      <c r="U521" t="n">
        <v>31</v>
      </c>
      <c r="V521" t="n">
        <v>31</v>
      </c>
      <c r="W521" t="inlineStr">
        <is>
          <t>2000-08-29</t>
        </is>
      </c>
      <c r="X521" t="inlineStr">
        <is>
          <t>2000-08-29</t>
        </is>
      </c>
      <c r="Y521" t="inlineStr">
        <is>
          <t>1989-09-19</t>
        </is>
      </c>
      <c r="Z521" t="inlineStr">
        <is>
          <t>1989-09-19</t>
        </is>
      </c>
      <c r="AA521" t="n">
        <v>394</v>
      </c>
      <c r="AB521" t="n">
        <v>319</v>
      </c>
      <c r="AC521" t="n">
        <v>986</v>
      </c>
      <c r="AD521" t="n">
        <v>5</v>
      </c>
      <c r="AE521" t="n">
        <v>9</v>
      </c>
      <c r="AF521" t="n">
        <v>14</v>
      </c>
      <c r="AG521" t="n">
        <v>39</v>
      </c>
      <c r="AH521" t="n">
        <v>3</v>
      </c>
      <c r="AI521" t="n">
        <v>15</v>
      </c>
      <c r="AJ521" t="n">
        <v>1</v>
      </c>
      <c r="AK521" t="n">
        <v>6</v>
      </c>
      <c r="AL521" t="n">
        <v>8</v>
      </c>
      <c r="AM521" t="n">
        <v>17</v>
      </c>
      <c r="AN521" t="n">
        <v>3</v>
      </c>
      <c r="AO521" t="n">
        <v>7</v>
      </c>
      <c r="AP521" t="n">
        <v>1</v>
      </c>
      <c r="AQ521" t="n">
        <v>1</v>
      </c>
      <c r="AR521" t="inlineStr">
        <is>
          <t>No</t>
        </is>
      </c>
      <c r="AS521" t="inlineStr">
        <is>
          <t>Yes</t>
        </is>
      </c>
      <c r="AT521">
        <f>HYPERLINK("http://catalog.hathitrust.org/Record/004492549","HathiTrust Record")</f>
        <v/>
      </c>
      <c r="AU521">
        <f>HYPERLINK("https://creighton-primo.hosted.exlibrisgroup.com/primo-explore/search?tab=default_tab&amp;search_scope=EVERYTHING&amp;vid=01CRU&amp;lang=en_US&amp;offset=0&amp;query=any,contains,991001324569702656","Catalog Record")</f>
        <v/>
      </c>
      <c r="AV521">
        <f>HYPERLINK("http://www.worldcat.org/oclc/6864735","WorldCat Record")</f>
        <v/>
      </c>
      <c r="AW521" t="inlineStr">
        <is>
          <t>941093:eng</t>
        </is>
      </c>
      <c r="AX521" t="inlineStr">
        <is>
          <t>6864735</t>
        </is>
      </c>
      <c r="AY521" t="inlineStr">
        <is>
          <t>991001324569702656</t>
        </is>
      </c>
      <c r="AZ521" t="inlineStr">
        <is>
          <t>991001324569702656</t>
        </is>
      </c>
      <c r="BA521" t="inlineStr">
        <is>
          <t>2269458540002656</t>
        </is>
      </c>
      <c r="BB521" t="inlineStr">
        <is>
          <t>BOOK</t>
        </is>
      </c>
      <c r="BD521" t="inlineStr">
        <is>
          <t>9780721674117</t>
        </is>
      </c>
      <c r="BE521" t="inlineStr">
        <is>
          <t>30001001754375</t>
        </is>
      </c>
      <c r="BF521" t="inlineStr">
        <is>
          <t>893649100</t>
        </is>
      </c>
    </row>
    <row r="522">
      <c r="A522" t="inlineStr">
        <is>
          <t>No</t>
        </is>
      </c>
      <c r="B522" t="inlineStr">
        <is>
          <t>CUHSL</t>
        </is>
      </c>
      <c r="C522" t="inlineStr">
        <is>
          <t>SHELVES</t>
        </is>
      </c>
      <c r="D522" t="inlineStr">
        <is>
          <t>W 50 P986e 1993</t>
        </is>
      </c>
      <c r="E522" t="inlineStr">
        <is>
          <t>0                      W  0050000P  986e        1993</t>
        </is>
      </c>
      <c r="F522" t="inlineStr">
        <is>
          <t>Ethical dimensions in the health professions / Ruth Purtilo.</t>
        </is>
      </c>
      <c r="H522" t="inlineStr">
        <is>
          <t>No</t>
        </is>
      </c>
      <c r="I522" t="inlineStr">
        <is>
          <t>1</t>
        </is>
      </c>
      <c r="J522" t="inlineStr">
        <is>
          <t>No</t>
        </is>
      </c>
      <c r="K522" t="inlineStr">
        <is>
          <t>Yes</t>
        </is>
      </c>
      <c r="L522" t="inlineStr">
        <is>
          <t>0</t>
        </is>
      </c>
      <c r="M522" t="inlineStr">
        <is>
          <t>Purtilo, Ruth B.</t>
        </is>
      </c>
      <c r="N522" t="inlineStr">
        <is>
          <t>Philadelphia : W.B. Saunders Co., c1993.</t>
        </is>
      </c>
      <c r="O522" t="inlineStr">
        <is>
          <t>1993</t>
        </is>
      </c>
      <c r="P522" t="inlineStr">
        <is>
          <t>2nd ed.</t>
        </is>
      </c>
      <c r="Q522" t="inlineStr">
        <is>
          <t>eng</t>
        </is>
      </c>
      <c r="R522" t="inlineStr">
        <is>
          <t>pau</t>
        </is>
      </c>
      <c r="T522" t="inlineStr">
        <is>
          <t xml:space="preserve">W  </t>
        </is>
      </c>
      <c r="U522" t="n">
        <v>80</v>
      </c>
      <c r="V522" t="n">
        <v>80</v>
      </c>
      <c r="W522" t="inlineStr">
        <is>
          <t>2010-03-15</t>
        </is>
      </c>
      <c r="X522" t="inlineStr">
        <is>
          <t>2010-03-15</t>
        </is>
      </c>
      <c r="Y522" t="inlineStr">
        <is>
          <t>1995-01-04</t>
        </is>
      </c>
      <c r="Z522" t="inlineStr">
        <is>
          <t>1995-01-04</t>
        </is>
      </c>
      <c r="AA522" t="n">
        <v>394</v>
      </c>
      <c r="AB522" t="n">
        <v>306</v>
      </c>
      <c r="AC522" t="n">
        <v>986</v>
      </c>
      <c r="AD522" t="n">
        <v>3</v>
      </c>
      <c r="AE522" t="n">
        <v>9</v>
      </c>
      <c r="AF522" t="n">
        <v>9</v>
      </c>
      <c r="AG522" t="n">
        <v>39</v>
      </c>
      <c r="AH522" t="n">
        <v>4</v>
      </c>
      <c r="AI522" t="n">
        <v>15</v>
      </c>
      <c r="AJ522" t="n">
        <v>2</v>
      </c>
      <c r="AK522" t="n">
        <v>6</v>
      </c>
      <c r="AL522" t="n">
        <v>5</v>
      </c>
      <c r="AM522" t="n">
        <v>17</v>
      </c>
      <c r="AN522" t="n">
        <v>1</v>
      </c>
      <c r="AO522" t="n">
        <v>7</v>
      </c>
      <c r="AP522" t="n">
        <v>0</v>
      </c>
      <c r="AQ522" t="n">
        <v>1</v>
      </c>
      <c r="AR522" t="inlineStr">
        <is>
          <t>No</t>
        </is>
      </c>
      <c r="AS522" t="inlineStr">
        <is>
          <t>Yes</t>
        </is>
      </c>
      <c r="AT522">
        <f>HYPERLINK("http://catalog.hathitrust.org/Record/002783807","HathiTrust Record")</f>
        <v/>
      </c>
      <c r="AU522">
        <f>HYPERLINK("https://creighton-primo.hosted.exlibrisgroup.com/primo-explore/search?tab=default_tab&amp;search_scope=EVERYTHING&amp;vid=01CRU&amp;lang=en_US&amp;offset=0&amp;query=any,contains,991000684149702656","Catalog Record")</f>
        <v/>
      </c>
      <c r="AV522">
        <f>HYPERLINK("http://www.worldcat.org/oclc/26552510","WorldCat Record")</f>
        <v/>
      </c>
      <c r="AW522" t="inlineStr">
        <is>
          <t>941093:eng</t>
        </is>
      </c>
      <c r="AX522" t="inlineStr">
        <is>
          <t>26552510</t>
        </is>
      </c>
      <c r="AY522" t="inlineStr">
        <is>
          <t>991000684149702656</t>
        </is>
      </c>
      <c r="AZ522" t="inlineStr">
        <is>
          <t>991000684149702656</t>
        </is>
      </c>
      <c r="BA522" t="inlineStr">
        <is>
          <t>2259254450002656</t>
        </is>
      </c>
      <c r="BB522" t="inlineStr">
        <is>
          <t>BOOK</t>
        </is>
      </c>
      <c r="BD522" t="inlineStr">
        <is>
          <t>9780721635507</t>
        </is>
      </c>
      <c r="BE522" t="inlineStr">
        <is>
          <t>30001002698480</t>
        </is>
      </c>
      <c r="BF522" t="inlineStr">
        <is>
          <t>893459685</t>
        </is>
      </c>
    </row>
    <row r="523">
      <c r="A523" t="inlineStr">
        <is>
          <t>No</t>
        </is>
      </c>
      <c r="B523" t="inlineStr">
        <is>
          <t>CUHSL</t>
        </is>
      </c>
      <c r="C523" t="inlineStr">
        <is>
          <t>SHELVES</t>
        </is>
      </c>
      <c r="D523" t="inlineStr">
        <is>
          <t>W 50 P986e 1999</t>
        </is>
      </c>
      <c r="E523" t="inlineStr">
        <is>
          <t>0                      W  0050000P  986e        1999</t>
        </is>
      </c>
      <c r="F523" t="inlineStr">
        <is>
          <t>Ethical dimensions in the health professions / Ruth Purtilo.</t>
        </is>
      </c>
      <c r="H523" t="inlineStr">
        <is>
          <t>No</t>
        </is>
      </c>
      <c r="I523" t="inlineStr">
        <is>
          <t>1</t>
        </is>
      </c>
      <c r="J523" t="inlineStr">
        <is>
          <t>No</t>
        </is>
      </c>
      <c r="K523" t="inlineStr">
        <is>
          <t>Yes</t>
        </is>
      </c>
      <c r="L523" t="inlineStr">
        <is>
          <t>0</t>
        </is>
      </c>
      <c r="M523" t="inlineStr">
        <is>
          <t>Purtilo, Ruth B.</t>
        </is>
      </c>
      <c r="N523" t="inlineStr">
        <is>
          <t>Philadelphia : Saunders, c1999.</t>
        </is>
      </c>
      <c r="O523" t="inlineStr">
        <is>
          <t>1999</t>
        </is>
      </c>
      <c r="P523" t="inlineStr">
        <is>
          <t>3rd ed.</t>
        </is>
      </c>
      <c r="Q523" t="inlineStr">
        <is>
          <t>eng</t>
        </is>
      </c>
      <c r="R523" t="inlineStr">
        <is>
          <t>pau</t>
        </is>
      </c>
      <c r="T523" t="inlineStr">
        <is>
          <t xml:space="preserve">W  </t>
        </is>
      </c>
      <c r="U523" t="n">
        <v>173</v>
      </c>
      <c r="V523" t="n">
        <v>173</v>
      </c>
      <c r="W523" t="inlineStr">
        <is>
          <t>2010-03-30</t>
        </is>
      </c>
      <c r="X523" t="inlineStr">
        <is>
          <t>2010-03-30</t>
        </is>
      </c>
      <c r="Y523" t="inlineStr">
        <is>
          <t>1999-01-19</t>
        </is>
      </c>
      <c r="Z523" t="inlineStr">
        <is>
          <t>1999-01-19</t>
        </is>
      </c>
      <c r="AA523" t="n">
        <v>318</v>
      </c>
      <c r="AB523" t="n">
        <v>260</v>
      </c>
      <c r="AC523" t="n">
        <v>986</v>
      </c>
      <c r="AD523" t="n">
        <v>2</v>
      </c>
      <c r="AE523" t="n">
        <v>9</v>
      </c>
      <c r="AF523" t="n">
        <v>8</v>
      </c>
      <c r="AG523" t="n">
        <v>39</v>
      </c>
      <c r="AH523" t="n">
        <v>2</v>
      </c>
      <c r="AI523" t="n">
        <v>15</v>
      </c>
      <c r="AJ523" t="n">
        <v>3</v>
      </c>
      <c r="AK523" t="n">
        <v>6</v>
      </c>
      <c r="AL523" t="n">
        <v>3</v>
      </c>
      <c r="AM523" t="n">
        <v>17</v>
      </c>
      <c r="AN523" t="n">
        <v>1</v>
      </c>
      <c r="AO523" t="n">
        <v>7</v>
      </c>
      <c r="AP523" t="n">
        <v>0</v>
      </c>
      <c r="AQ523" t="n">
        <v>1</v>
      </c>
      <c r="AR523" t="inlineStr">
        <is>
          <t>No</t>
        </is>
      </c>
      <c r="AS523" t="inlineStr">
        <is>
          <t>Yes</t>
        </is>
      </c>
      <c r="AT523">
        <f>HYPERLINK("http://catalog.hathitrust.org/Record/004013385","HathiTrust Record")</f>
        <v/>
      </c>
      <c r="AU523">
        <f>HYPERLINK("https://creighton-primo.hosted.exlibrisgroup.com/primo-explore/search?tab=default_tab&amp;search_scope=EVERYTHING&amp;vid=01CRU&amp;lang=en_US&amp;offset=0&amp;query=any,contains,991001532019702656","Catalog Record")</f>
        <v/>
      </c>
      <c r="AV523">
        <f>HYPERLINK("http://www.worldcat.org/oclc/39857637","WorldCat Record")</f>
        <v/>
      </c>
      <c r="AW523" t="inlineStr">
        <is>
          <t>941093:eng</t>
        </is>
      </c>
      <c r="AX523" t="inlineStr">
        <is>
          <t>39857637</t>
        </is>
      </c>
      <c r="AY523" t="inlineStr">
        <is>
          <t>991001532019702656</t>
        </is>
      </c>
      <c r="AZ523" t="inlineStr">
        <is>
          <t>991001532019702656</t>
        </is>
      </c>
      <c r="BA523" t="inlineStr">
        <is>
          <t>2258726830002656</t>
        </is>
      </c>
      <c r="BB523" t="inlineStr">
        <is>
          <t>BOOK</t>
        </is>
      </c>
      <c r="BD523" t="inlineStr">
        <is>
          <t>9780721677996</t>
        </is>
      </c>
      <c r="BE523" t="inlineStr">
        <is>
          <t>30001003961754</t>
        </is>
      </c>
      <c r="BF523" t="inlineStr">
        <is>
          <t>893374692</t>
        </is>
      </c>
    </row>
    <row r="524">
      <c r="A524" t="inlineStr">
        <is>
          <t>No</t>
        </is>
      </c>
      <c r="B524" t="inlineStr">
        <is>
          <t>CUHSL</t>
        </is>
      </c>
      <c r="C524" t="inlineStr">
        <is>
          <t>SHELVES</t>
        </is>
      </c>
      <c r="D524" t="inlineStr">
        <is>
          <t>W 50 R283</t>
        </is>
      </c>
      <c r="E524" t="inlineStr">
        <is>
          <t>0                      W  0050000R  283</t>
        </is>
      </c>
      <c r="F524" t="inlineStr">
        <is>
          <t>Readings : Institute of society, ethics and the life sciences .</t>
        </is>
      </c>
      <c r="H524" t="inlineStr">
        <is>
          <t>No</t>
        </is>
      </c>
      <c r="I524" t="inlineStr">
        <is>
          <t>1</t>
        </is>
      </c>
      <c r="J524" t="inlineStr">
        <is>
          <t>No</t>
        </is>
      </c>
      <c r="K524" t="inlineStr">
        <is>
          <t>No</t>
        </is>
      </c>
      <c r="L524" t="inlineStr">
        <is>
          <t>0</t>
        </is>
      </c>
      <c r="Q524" t="inlineStr">
        <is>
          <t>eng</t>
        </is>
      </c>
      <c r="R524" t="inlineStr">
        <is>
          <t>nyu</t>
        </is>
      </c>
      <c r="T524" t="inlineStr">
        <is>
          <t xml:space="preserve">W  </t>
        </is>
      </c>
      <c r="U524" t="n">
        <v>4</v>
      </c>
      <c r="V524" t="n">
        <v>4</v>
      </c>
      <c r="W524" t="inlineStr">
        <is>
          <t>1999-07-30</t>
        </is>
      </c>
      <c r="X524" t="inlineStr">
        <is>
          <t>1999-07-30</t>
        </is>
      </c>
      <c r="Y524" t="inlineStr">
        <is>
          <t>1987-10-02</t>
        </is>
      </c>
      <c r="Z524" t="inlineStr">
        <is>
          <t>1987-10-02</t>
        </is>
      </c>
      <c r="AA524" t="n">
        <v>1</v>
      </c>
      <c r="AB524" t="n">
        <v>1</v>
      </c>
      <c r="AC524" t="n">
        <v>1</v>
      </c>
      <c r="AD524" t="n">
        <v>1</v>
      </c>
      <c r="AE524" t="n">
        <v>1</v>
      </c>
      <c r="AF524" t="n">
        <v>0</v>
      </c>
      <c r="AG524" t="n">
        <v>0</v>
      </c>
      <c r="AH524" t="n">
        <v>0</v>
      </c>
      <c r="AI524" t="n">
        <v>0</v>
      </c>
      <c r="AJ524" t="n">
        <v>0</v>
      </c>
      <c r="AK524" t="n">
        <v>0</v>
      </c>
      <c r="AL524" t="n">
        <v>0</v>
      </c>
      <c r="AM524" t="n">
        <v>0</v>
      </c>
      <c r="AN524" t="n">
        <v>0</v>
      </c>
      <c r="AO524" t="n">
        <v>0</v>
      </c>
      <c r="AP524" t="n">
        <v>0</v>
      </c>
      <c r="AQ524" t="n">
        <v>0</v>
      </c>
      <c r="AR524" t="inlineStr">
        <is>
          <t>No</t>
        </is>
      </c>
      <c r="AS524" t="inlineStr">
        <is>
          <t>No</t>
        </is>
      </c>
      <c r="AU524">
        <f>HYPERLINK("https://creighton-primo.hosted.exlibrisgroup.com/primo-explore/search?tab=default_tab&amp;search_scope=EVERYTHING&amp;vid=01CRU&amp;lang=en_US&amp;offset=0&amp;query=any,contains,991001126099702656","Catalog Record")</f>
        <v/>
      </c>
      <c r="AV524">
        <f>HYPERLINK("http://www.worldcat.org/oclc/5000850","WorldCat Record")</f>
        <v/>
      </c>
      <c r="AW524" t="inlineStr">
        <is>
          <t>54297695:eng</t>
        </is>
      </c>
      <c r="AX524" t="inlineStr">
        <is>
          <t>5000850</t>
        </is>
      </c>
      <c r="AY524" t="inlineStr">
        <is>
          <t>991001126099702656</t>
        </is>
      </c>
      <c r="AZ524" t="inlineStr">
        <is>
          <t>991001126099702656</t>
        </is>
      </c>
      <c r="BA524" t="inlineStr">
        <is>
          <t>2266199730002656</t>
        </is>
      </c>
      <c r="BB524" t="inlineStr">
        <is>
          <t>BOOK</t>
        </is>
      </c>
      <c r="BE524" t="inlineStr">
        <is>
          <t>30001000279853</t>
        </is>
      </c>
      <c r="BF524" t="inlineStr">
        <is>
          <t>893740778</t>
        </is>
      </c>
    </row>
    <row r="525">
      <c r="A525" t="inlineStr">
        <is>
          <t>No</t>
        </is>
      </c>
      <c r="B525" t="inlineStr">
        <is>
          <t>CUHSL</t>
        </is>
      </c>
      <c r="C525" t="inlineStr">
        <is>
          <t>SHELVES</t>
        </is>
      </c>
      <c r="D525" t="inlineStr">
        <is>
          <t>W 50 R386m 1975</t>
        </is>
      </c>
      <c r="E525" t="inlineStr">
        <is>
          <t>0                      W  0050000R  386m        1975</t>
        </is>
      </c>
      <c r="F525" t="inlineStr">
        <is>
          <t>The masculine principle, the feminine principle, and humanistic medicine / Naomi Remen ; in collaboration with Anita Astrom Blau, Raymond Hively.</t>
        </is>
      </c>
      <c r="H525" t="inlineStr">
        <is>
          <t>No</t>
        </is>
      </c>
      <c r="I525" t="inlineStr">
        <is>
          <t>1</t>
        </is>
      </c>
      <c r="J525" t="inlineStr">
        <is>
          <t>No</t>
        </is>
      </c>
      <c r="K525" t="inlineStr">
        <is>
          <t>No</t>
        </is>
      </c>
      <c r="L525" t="inlineStr">
        <is>
          <t>0</t>
        </is>
      </c>
      <c r="M525" t="inlineStr">
        <is>
          <t>Remen, Rachel Naomi.</t>
        </is>
      </c>
      <c r="N525" t="inlineStr">
        <is>
          <t>-- San Francisco : Institute for the Study of Humanistic Medicine, c1975.</t>
        </is>
      </c>
      <c r="O525" t="inlineStr">
        <is>
          <t>1975</t>
        </is>
      </c>
      <c r="Q525" t="inlineStr">
        <is>
          <t>eng</t>
        </is>
      </c>
      <c r="R525" t="inlineStr">
        <is>
          <t>cau</t>
        </is>
      </c>
      <c r="S525" t="inlineStr">
        <is>
          <t>Essays in humanistic medicine</t>
        </is>
      </c>
      <c r="T525" t="inlineStr">
        <is>
          <t xml:space="preserve">W  </t>
        </is>
      </c>
      <c r="U525" t="n">
        <v>1</v>
      </c>
      <c r="V525" t="n">
        <v>1</v>
      </c>
      <c r="W525" t="inlineStr">
        <is>
          <t>2005-06-24</t>
        </is>
      </c>
      <c r="X525" t="inlineStr">
        <is>
          <t>2005-06-24</t>
        </is>
      </c>
      <c r="Y525" t="inlineStr">
        <is>
          <t>1987-10-02</t>
        </is>
      </c>
      <c r="Z525" t="inlineStr">
        <is>
          <t>1987-10-02</t>
        </is>
      </c>
      <c r="AA525" t="n">
        <v>74</v>
      </c>
      <c r="AB525" t="n">
        <v>65</v>
      </c>
      <c r="AC525" t="n">
        <v>70</v>
      </c>
      <c r="AD525" t="n">
        <v>1</v>
      </c>
      <c r="AE525" t="n">
        <v>1</v>
      </c>
      <c r="AF525" t="n">
        <v>1</v>
      </c>
      <c r="AG525" t="n">
        <v>1</v>
      </c>
      <c r="AH525" t="n">
        <v>0</v>
      </c>
      <c r="AI525" t="n">
        <v>0</v>
      </c>
      <c r="AJ525" t="n">
        <v>0</v>
      </c>
      <c r="AK525" t="n">
        <v>0</v>
      </c>
      <c r="AL525" t="n">
        <v>1</v>
      </c>
      <c r="AM525" t="n">
        <v>1</v>
      </c>
      <c r="AN525" t="n">
        <v>0</v>
      </c>
      <c r="AO525" t="n">
        <v>0</v>
      </c>
      <c r="AP525" t="n">
        <v>0</v>
      </c>
      <c r="AQ525" t="n">
        <v>0</v>
      </c>
      <c r="AR525" t="inlineStr">
        <is>
          <t>No</t>
        </is>
      </c>
      <c r="AS525" t="inlineStr">
        <is>
          <t>No</t>
        </is>
      </c>
      <c r="AU525">
        <f>HYPERLINK("https://creighton-primo.hosted.exlibrisgroup.com/primo-explore/search?tab=default_tab&amp;search_scope=EVERYTHING&amp;vid=01CRU&amp;lang=en_US&amp;offset=0&amp;query=any,contains,991001126019702656","Catalog Record")</f>
        <v/>
      </c>
      <c r="AV525">
        <f>HYPERLINK("http://www.worldcat.org/oclc/1507614","WorldCat Record")</f>
        <v/>
      </c>
      <c r="AW525" t="inlineStr">
        <is>
          <t>2322583:eng</t>
        </is>
      </c>
      <c r="AX525" t="inlineStr">
        <is>
          <t>1507614</t>
        </is>
      </c>
      <c r="AY525" t="inlineStr">
        <is>
          <t>991001126019702656</t>
        </is>
      </c>
      <c r="AZ525" t="inlineStr">
        <is>
          <t>991001126019702656</t>
        </is>
      </c>
      <c r="BA525" t="inlineStr">
        <is>
          <t>2255498570002656</t>
        </is>
      </c>
      <c r="BB525" t="inlineStr">
        <is>
          <t>BOOK</t>
        </is>
      </c>
      <c r="BE525" t="inlineStr">
        <is>
          <t>30001000279820</t>
        </is>
      </c>
      <c r="BF525" t="inlineStr">
        <is>
          <t>893460295</t>
        </is>
      </c>
    </row>
    <row r="526">
      <c r="A526" t="inlineStr">
        <is>
          <t>No</t>
        </is>
      </c>
      <c r="B526" t="inlineStr">
        <is>
          <t>CUHSL</t>
        </is>
      </c>
      <c r="C526" t="inlineStr">
        <is>
          <t>SHELVES</t>
        </is>
      </c>
      <c r="D526" t="inlineStr">
        <is>
          <t>W 50 R425 1986</t>
        </is>
      </c>
      <c r="E526" t="inlineStr">
        <is>
          <t>0                      W  0050000R  425         1986</t>
        </is>
      </c>
      <c r="F526" t="inlineStr">
        <is>
          <t>Report of the committee appointed by the Western Australian government to enquire into the social, legal, and ethical issues relating to in vitro fertilization and its supervision.</t>
        </is>
      </c>
      <c r="H526" t="inlineStr">
        <is>
          <t>No</t>
        </is>
      </c>
      <c r="I526" t="inlineStr">
        <is>
          <t>1</t>
        </is>
      </c>
      <c r="J526" t="inlineStr">
        <is>
          <t>No</t>
        </is>
      </c>
      <c r="K526" t="inlineStr">
        <is>
          <t>No</t>
        </is>
      </c>
      <c r="L526" t="inlineStr">
        <is>
          <t>0</t>
        </is>
      </c>
      <c r="N526" t="inlineStr">
        <is>
          <t>[Perth, W.A.] : Health Dept. of Western Australia, [1986]</t>
        </is>
      </c>
      <c r="O526" t="inlineStr">
        <is>
          <t>1986</t>
        </is>
      </c>
      <c r="Q526" t="inlineStr">
        <is>
          <t>eng</t>
        </is>
      </c>
      <c r="R526" t="inlineStr">
        <is>
          <t xml:space="preserve">at </t>
        </is>
      </c>
      <c r="T526" t="inlineStr">
        <is>
          <t xml:space="preserve">W  </t>
        </is>
      </c>
      <c r="U526" t="n">
        <v>4</v>
      </c>
      <c r="V526" t="n">
        <v>4</v>
      </c>
      <c r="W526" t="inlineStr">
        <is>
          <t>1997-03-19</t>
        </is>
      </c>
      <c r="X526" t="inlineStr">
        <is>
          <t>1997-03-19</t>
        </is>
      </c>
      <c r="Y526" t="inlineStr">
        <is>
          <t>1992-02-12</t>
        </is>
      </c>
      <c r="Z526" t="inlineStr">
        <is>
          <t>1992-02-12</t>
        </is>
      </c>
      <c r="AA526" t="n">
        <v>4</v>
      </c>
      <c r="AB526" t="n">
        <v>4</v>
      </c>
      <c r="AC526" t="n">
        <v>4</v>
      </c>
      <c r="AD526" t="n">
        <v>1</v>
      </c>
      <c r="AE526" t="n">
        <v>1</v>
      </c>
      <c r="AF526" t="n">
        <v>0</v>
      </c>
      <c r="AG526" t="n">
        <v>0</v>
      </c>
      <c r="AH526" t="n">
        <v>0</v>
      </c>
      <c r="AI526" t="n">
        <v>0</v>
      </c>
      <c r="AJ526" t="n">
        <v>0</v>
      </c>
      <c r="AK526" t="n">
        <v>0</v>
      </c>
      <c r="AL526" t="n">
        <v>0</v>
      </c>
      <c r="AM526" t="n">
        <v>0</v>
      </c>
      <c r="AN526" t="n">
        <v>0</v>
      </c>
      <c r="AO526" t="n">
        <v>0</v>
      </c>
      <c r="AP526" t="n">
        <v>0</v>
      </c>
      <c r="AQ526" t="n">
        <v>0</v>
      </c>
      <c r="AR526" t="inlineStr">
        <is>
          <t>No</t>
        </is>
      </c>
      <c r="AS526" t="inlineStr">
        <is>
          <t>No</t>
        </is>
      </c>
      <c r="AU526">
        <f>HYPERLINK("https://creighton-primo.hosted.exlibrisgroup.com/primo-explore/search?tab=default_tab&amp;search_scope=EVERYTHING&amp;vid=01CRU&amp;lang=en_US&amp;offset=0&amp;query=any,contains,991001375889702656","Catalog Record")</f>
        <v/>
      </c>
      <c r="AV526">
        <f>HYPERLINK("http://www.worldcat.org/oclc/24430701","WorldCat Record")</f>
        <v/>
      </c>
      <c r="AW526" t="inlineStr">
        <is>
          <t>2275712154:eng</t>
        </is>
      </c>
      <c r="AX526" t="inlineStr">
        <is>
          <t>24430701</t>
        </is>
      </c>
      <c r="AY526" t="inlineStr">
        <is>
          <t>991001375889702656</t>
        </is>
      </c>
      <c r="AZ526" t="inlineStr">
        <is>
          <t>991001375889702656</t>
        </is>
      </c>
      <c r="BA526" t="inlineStr">
        <is>
          <t>2268082960002656</t>
        </is>
      </c>
      <c r="BB526" t="inlineStr">
        <is>
          <t>BOOK</t>
        </is>
      </c>
      <c r="BE526" t="inlineStr">
        <is>
          <t>30001001798182</t>
        </is>
      </c>
      <c r="BF526" t="inlineStr">
        <is>
          <t>893364040</t>
        </is>
      </c>
    </row>
    <row r="527">
      <c r="A527" t="inlineStr">
        <is>
          <t>No</t>
        </is>
      </c>
      <c r="B527" t="inlineStr">
        <is>
          <t>CUHSL</t>
        </is>
      </c>
      <c r="C527" t="inlineStr">
        <is>
          <t>SHELVES</t>
        </is>
      </c>
      <c r="D527" t="inlineStr">
        <is>
          <t>W 50 R436m 1986</t>
        </is>
      </c>
      <c r="E527" t="inlineStr">
        <is>
          <t>0                      W  0050000R  436m        1986</t>
        </is>
      </c>
      <c r="F527" t="inlineStr">
        <is>
          <t>Moral development : advances in research and theory / James R. Rest in collaboration with Robert Barnett ... [et al.]</t>
        </is>
      </c>
      <c r="H527" t="inlineStr">
        <is>
          <t>No</t>
        </is>
      </c>
      <c r="I527" t="inlineStr">
        <is>
          <t>1</t>
        </is>
      </c>
      <c r="J527" t="inlineStr">
        <is>
          <t>No</t>
        </is>
      </c>
      <c r="K527" t="inlineStr">
        <is>
          <t>No</t>
        </is>
      </c>
      <c r="L527" t="inlineStr">
        <is>
          <t>0</t>
        </is>
      </c>
      <c r="M527" t="inlineStr">
        <is>
          <t>Rest, James R.</t>
        </is>
      </c>
      <c r="N527" t="inlineStr">
        <is>
          <t>New York ; London : Praeger, c1986.</t>
        </is>
      </c>
      <c r="O527" t="inlineStr">
        <is>
          <t>1986</t>
        </is>
      </c>
      <c r="Q527" t="inlineStr">
        <is>
          <t>eng</t>
        </is>
      </c>
      <c r="R527" t="inlineStr">
        <is>
          <t>enk</t>
        </is>
      </c>
      <c r="T527" t="inlineStr">
        <is>
          <t xml:space="preserve">W  </t>
        </is>
      </c>
      <c r="U527" t="n">
        <v>16</v>
      </c>
      <c r="V527" t="n">
        <v>16</v>
      </c>
      <c r="W527" t="inlineStr">
        <is>
          <t>2003-05-28</t>
        </is>
      </c>
      <c r="X527" t="inlineStr">
        <is>
          <t>2003-05-28</t>
        </is>
      </c>
      <c r="Y527" t="inlineStr">
        <is>
          <t>1987-10-02</t>
        </is>
      </c>
      <c r="Z527" t="inlineStr">
        <is>
          <t>1987-10-02</t>
        </is>
      </c>
      <c r="AA527" t="n">
        <v>571</v>
      </c>
      <c r="AB527" t="n">
        <v>476</v>
      </c>
      <c r="AC527" t="n">
        <v>479</v>
      </c>
      <c r="AD527" t="n">
        <v>5</v>
      </c>
      <c r="AE527" t="n">
        <v>5</v>
      </c>
      <c r="AF527" t="n">
        <v>22</v>
      </c>
      <c r="AG527" t="n">
        <v>22</v>
      </c>
      <c r="AH527" t="n">
        <v>5</v>
      </c>
      <c r="AI527" t="n">
        <v>5</v>
      </c>
      <c r="AJ527" t="n">
        <v>6</v>
      </c>
      <c r="AK527" t="n">
        <v>6</v>
      </c>
      <c r="AL527" t="n">
        <v>11</v>
      </c>
      <c r="AM527" t="n">
        <v>11</v>
      </c>
      <c r="AN527" t="n">
        <v>4</v>
      </c>
      <c r="AO527" t="n">
        <v>4</v>
      </c>
      <c r="AP527" t="n">
        <v>0</v>
      </c>
      <c r="AQ527" t="n">
        <v>0</v>
      </c>
      <c r="AR527" t="inlineStr">
        <is>
          <t>No</t>
        </is>
      </c>
      <c r="AS527" t="inlineStr">
        <is>
          <t>Yes</t>
        </is>
      </c>
      <c r="AT527">
        <f>HYPERLINK("http://catalog.hathitrust.org/Record/000441705","HathiTrust Record")</f>
        <v/>
      </c>
      <c r="AU527">
        <f>HYPERLINK("https://creighton-primo.hosted.exlibrisgroup.com/primo-explore/search?tab=default_tab&amp;search_scope=EVERYTHING&amp;vid=01CRU&amp;lang=en_US&amp;offset=0&amp;query=any,contains,991001125979702656","Catalog Record")</f>
        <v/>
      </c>
      <c r="AV527">
        <f>HYPERLINK("http://www.worldcat.org/oclc/14166169","WorldCat Record")</f>
        <v/>
      </c>
      <c r="AW527" t="inlineStr">
        <is>
          <t>7186309:eng</t>
        </is>
      </c>
      <c r="AX527" t="inlineStr">
        <is>
          <t>14166169</t>
        </is>
      </c>
      <c r="AY527" t="inlineStr">
        <is>
          <t>991001125979702656</t>
        </is>
      </c>
      <c r="AZ527" t="inlineStr">
        <is>
          <t>991001125979702656</t>
        </is>
      </c>
      <c r="BA527" t="inlineStr">
        <is>
          <t>2254776840002656</t>
        </is>
      </c>
      <c r="BB527" t="inlineStr">
        <is>
          <t>BOOK</t>
        </is>
      </c>
      <c r="BD527" t="inlineStr">
        <is>
          <t>9780275922542</t>
        </is>
      </c>
      <c r="BE527" t="inlineStr">
        <is>
          <t>30001000279812</t>
        </is>
      </c>
      <c r="BF527" t="inlineStr">
        <is>
          <t>893826467</t>
        </is>
      </c>
    </row>
    <row r="528">
      <c r="A528" t="inlineStr">
        <is>
          <t>No</t>
        </is>
      </c>
      <c r="B528" t="inlineStr">
        <is>
          <t>CUHSL</t>
        </is>
      </c>
      <c r="C528" t="inlineStr">
        <is>
          <t>SHELVES</t>
        </is>
      </c>
      <c r="D528" t="inlineStr">
        <is>
          <t>W 50 R556l 1985</t>
        </is>
      </c>
      <c r="E528" t="inlineStr">
        <is>
          <t>0                      W  0050000R  556l        1985</t>
        </is>
      </c>
      <c r="F528" t="inlineStr">
        <is>
          <t>Legal analysis of the right to die / by Rita Ann Reimer, Legislative Attorney, American Law Division.</t>
        </is>
      </c>
      <c r="H528" t="inlineStr">
        <is>
          <t>No</t>
        </is>
      </c>
      <c r="I528" t="inlineStr">
        <is>
          <t>1</t>
        </is>
      </c>
      <c r="J528" t="inlineStr">
        <is>
          <t>No</t>
        </is>
      </c>
      <c r="K528" t="inlineStr">
        <is>
          <t>No</t>
        </is>
      </c>
      <c r="L528" t="inlineStr">
        <is>
          <t>0</t>
        </is>
      </c>
      <c r="M528" t="inlineStr">
        <is>
          <t>Reimer, Rita Ann.</t>
        </is>
      </c>
      <c r="N528" t="inlineStr">
        <is>
          <t>Washington, D.C. : Library of Congress, Congressional Research Service, 1985.</t>
        </is>
      </c>
      <c r="O528" t="inlineStr">
        <is>
          <t>1985</t>
        </is>
      </c>
      <c r="Q528" t="inlineStr">
        <is>
          <t>eng</t>
        </is>
      </c>
      <c r="R528" t="inlineStr">
        <is>
          <t>xxu</t>
        </is>
      </c>
      <c r="S528" t="inlineStr">
        <is>
          <t>CRS report ; no. 85-222 A</t>
        </is>
      </c>
      <c r="T528" t="inlineStr">
        <is>
          <t xml:space="preserve">W  </t>
        </is>
      </c>
      <c r="U528" t="n">
        <v>4</v>
      </c>
      <c r="V528" t="n">
        <v>4</v>
      </c>
      <c r="W528" t="inlineStr">
        <is>
          <t>1996-12-30</t>
        </is>
      </c>
      <c r="X528" t="inlineStr">
        <is>
          <t>1996-12-30</t>
        </is>
      </c>
      <c r="Y528" t="inlineStr">
        <is>
          <t>1989-08-24</t>
        </is>
      </c>
      <c r="Z528" t="inlineStr">
        <is>
          <t>1989-08-24</t>
        </is>
      </c>
      <c r="AA528" t="n">
        <v>3</v>
      </c>
      <c r="AB528" t="n">
        <v>3</v>
      </c>
      <c r="AC528" t="n">
        <v>9</v>
      </c>
      <c r="AD528" t="n">
        <v>1</v>
      </c>
      <c r="AE528" t="n">
        <v>1</v>
      </c>
      <c r="AF528" t="n">
        <v>0</v>
      </c>
      <c r="AG528" t="n">
        <v>0</v>
      </c>
      <c r="AH528" t="n">
        <v>0</v>
      </c>
      <c r="AI528" t="n">
        <v>0</v>
      </c>
      <c r="AJ528" t="n">
        <v>0</v>
      </c>
      <c r="AK528" t="n">
        <v>0</v>
      </c>
      <c r="AL528" t="n">
        <v>0</v>
      </c>
      <c r="AM528" t="n">
        <v>0</v>
      </c>
      <c r="AN528" t="n">
        <v>0</v>
      </c>
      <c r="AO528" t="n">
        <v>0</v>
      </c>
      <c r="AP528" t="n">
        <v>0</v>
      </c>
      <c r="AQ528" t="n">
        <v>0</v>
      </c>
      <c r="AR528" t="inlineStr">
        <is>
          <t>No</t>
        </is>
      </c>
      <c r="AS528" t="inlineStr">
        <is>
          <t>No</t>
        </is>
      </c>
      <c r="AU528">
        <f>HYPERLINK("https://creighton-primo.hosted.exlibrisgroup.com/primo-explore/search?tab=default_tab&amp;search_scope=EVERYTHING&amp;vid=01CRU&amp;lang=en_US&amp;offset=0&amp;query=any,contains,991000764639702656","Catalog Record")</f>
        <v/>
      </c>
      <c r="AV528">
        <f>HYPERLINK("http://www.worldcat.org/oclc/16396984","WorldCat Record")</f>
        <v/>
      </c>
      <c r="AW528" t="inlineStr">
        <is>
          <t>12796729:eng</t>
        </is>
      </c>
      <c r="AX528" t="inlineStr">
        <is>
          <t>16396984</t>
        </is>
      </c>
      <c r="AY528" t="inlineStr">
        <is>
          <t>991000764639702656</t>
        </is>
      </c>
      <c r="AZ528" t="inlineStr">
        <is>
          <t>991000764639702656</t>
        </is>
      </c>
      <c r="BA528" t="inlineStr">
        <is>
          <t>2261639900002656</t>
        </is>
      </c>
      <c r="BB528" t="inlineStr">
        <is>
          <t>BOOK</t>
        </is>
      </c>
      <c r="BE528" t="inlineStr">
        <is>
          <t>30001000056863</t>
        </is>
      </c>
      <c r="BF528" t="inlineStr">
        <is>
          <t>893557116</t>
        </is>
      </c>
    </row>
    <row r="529">
      <c r="A529" t="inlineStr">
        <is>
          <t>No</t>
        </is>
      </c>
      <c r="B529" t="inlineStr">
        <is>
          <t>CUHSL</t>
        </is>
      </c>
      <c r="C529" t="inlineStr">
        <is>
          <t>SHELVES</t>
        </is>
      </c>
      <c r="D529" t="inlineStr">
        <is>
          <t>W 50 R566r 1981</t>
        </is>
      </c>
      <c r="E529" t="inlineStr">
        <is>
          <t>0                      W  0050000R  566r        1981</t>
        </is>
      </c>
      <c r="F529" t="inlineStr">
        <is>
          <t>Right to die or right to live? : legal aspects of dying and death / Peter J. Riga.</t>
        </is>
      </c>
      <c r="H529" t="inlineStr">
        <is>
          <t>No</t>
        </is>
      </c>
      <c r="I529" t="inlineStr">
        <is>
          <t>1</t>
        </is>
      </c>
      <c r="J529" t="inlineStr">
        <is>
          <t>No</t>
        </is>
      </c>
      <c r="K529" t="inlineStr">
        <is>
          <t>No</t>
        </is>
      </c>
      <c r="L529" t="inlineStr">
        <is>
          <t>0</t>
        </is>
      </c>
      <c r="M529" t="inlineStr">
        <is>
          <t>Riga, Peter J.</t>
        </is>
      </c>
      <c r="N529" t="inlineStr">
        <is>
          <t>Tarrytown, N.Y. : Associated Faculty Press, c1981.</t>
        </is>
      </c>
      <c r="O529" t="inlineStr">
        <is>
          <t>1981</t>
        </is>
      </c>
      <c r="Q529" t="inlineStr">
        <is>
          <t>eng</t>
        </is>
      </c>
      <c r="R529" t="inlineStr">
        <is>
          <t>nyu</t>
        </is>
      </c>
      <c r="S529" t="inlineStr">
        <is>
          <t>New studies on law and society</t>
        </is>
      </c>
      <c r="T529" t="inlineStr">
        <is>
          <t xml:space="preserve">W  </t>
        </is>
      </c>
      <c r="U529" t="n">
        <v>12</v>
      </c>
      <c r="V529" t="n">
        <v>12</v>
      </c>
      <c r="W529" t="inlineStr">
        <is>
          <t>2005-04-28</t>
        </is>
      </c>
      <c r="X529" t="inlineStr">
        <is>
          <t>2005-04-28</t>
        </is>
      </c>
      <c r="Y529" t="inlineStr">
        <is>
          <t>1989-07-11</t>
        </is>
      </c>
      <c r="Z529" t="inlineStr">
        <is>
          <t>1989-07-11</t>
        </is>
      </c>
      <c r="AA529" t="n">
        <v>247</v>
      </c>
      <c r="AB529" t="n">
        <v>217</v>
      </c>
      <c r="AC529" t="n">
        <v>257</v>
      </c>
      <c r="AD529" t="n">
        <v>3</v>
      </c>
      <c r="AE529" t="n">
        <v>3</v>
      </c>
      <c r="AF529" t="n">
        <v>19</v>
      </c>
      <c r="AG529" t="n">
        <v>25</v>
      </c>
      <c r="AH529" t="n">
        <v>1</v>
      </c>
      <c r="AI529" t="n">
        <v>1</v>
      </c>
      <c r="AJ529" t="n">
        <v>1</v>
      </c>
      <c r="AK529" t="n">
        <v>4</v>
      </c>
      <c r="AL529" t="n">
        <v>1</v>
      </c>
      <c r="AM529" t="n">
        <v>3</v>
      </c>
      <c r="AN529" t="n">
        <v>1</v>
      </c>
      <c r="AO529" t="n">
        <v>1</v>
      </c>
      <c r="AP529" t="n">
        <v>16</v>
      </c>
      <c r="AQ529" t="n">
        <v>19</v>
      </c>
      <c r="AR529" t="inlineStr">
        <is>
          <t>No</t>
        </is>
      </c>
      <c r="AS529" t="inlineStr">
        <is>
          <t>Yes</t>
        </is>
      </c>
      <c r="AT529">
        <f>HYPERLINK("http://catalog.hathitrust.org/Record/000311760","HathiTrust Record")</f>
        <v/>
      </c>
      <c r="AU529">
        <f>HYPERLINK("https://creighton-primo.hosted.exlibrisgroup.com/primo-explore/search?tab=default_tab&amp;search_scope=EVERYTHING&amp;vid=01CRU&amp;lang=en_US&amp;offset=0&amp;query=any,contains,991001126039702656","Catalog Record")</f>
        <v/>
      </c>
      <c r="AV529">
        <f>HYPERLINK("http://www.worldcat.org/oclc/8231136","WorldCat Record")</f>
        <v/>
      </c>
      <c r="AW529" t="inlineStr">
        <is>
          <t>513553:eng</t>
        </is>
      </c>
      <c r="AX529" t="inlineStr">
        <is>
          <t>8231136</t>
        </is>
      </c>
      <c r="AY529" t="inlineStr">
        <is>
          <t>991001126039702656</t>
        </is>
      </c>
      <c r="AZ529" t="inlineStr">
        <is>
          <t>991001126039702656</t>
        </is>
      </c>
      <c r="BA529" t="inlineStr">
        <is>
          <t>2262715250002656</t>
        </is>
      </c>
      <c r="BB529" t="inlineStr">
        <is>
          <t>BOOK</t>
        </is>
      </c>
      <c r="BD529" t="inlineStr">
        <is>
          <t>9780867330038</t>
        </is>
      </c>
      <c r="BE529" t="inlineStr">
        <is>
          <t>30001000279804</t>
        </is>
      </c>
      <c r="BF529" t="inlineStr">
        <is>
          <t>893740777</t>
        </is>
      </c>
    </row>
    <row r="530">
      <c r="A530" t="inlineStr">
        <is>
          <t>No</t>
        </is>
      </c>
      <c r="B530" t="inlineStr">
        <is>
          <t>CUHSL</t>
        </is>
      </c>
      <c r="C530" t="inlineStr">
        <is>
          <t>SHELVES</t>
        </is>
      </c>
      <c r="D530" t="inlineStr">
        <is>
          <t>W 50 R632e 1996</t>
        </is>
      </c>
      <c r="E530" t="inlineStr">
        <is>
          <t>0                      W  0050000R  632e        1996</t>
        </is>
      </c>
      <c r="F530" t="inlineStr">
        <is>
          <t>Ethical and legal issues in home health and long-term care : challenges and solutions / Dennis A. Robbins.</t>
        </is>
      </c>
      <c r="H530" t="inlineStr">
        <is>
          <t>No</t>
        </is>
      </c>
      <c r="I530" t="inlineStr">
        <is>
          <t>1</t>
        </is>
      </c>
      <c r="J530" t="inlineStr">
        <is>
          <t>No</t>
        </is>
      </c>
      <c r="K530" t="inlineStr">
        <is>
          <t>No</t>
        </is>
      </c>
      <c r="L530" t="inlineStr">
        <is>
          <t>0</t>
        </is>
      </c>
      <c r="M530" t="inlineStr">
        <is>
          <t>Robbins, Dennis A.</t>
        </is>
      </c>
      <c r="N530" t="inlineStr">
        <is>
          <t>Gaithersburg, Md. : Aspen Publishers, c1996.</t>
        </is>
      </c>
      <c r="O530" t="inlineStr">
        <is>
          <t>1996</t>
        </is>
      </c>
      <c r="Q530" t="inlineStr">
        <is>
          <t>eng</t>
        </is>
      </c>
      <c r="R530" t="inlineStr">
        <is>
          <t>mdu</t>
        </is>
      </c>
      <c r="T530" t="inlineStr">
        <is>
          <t xml:space="preserve">W  </t>
        </is>
      </c>
      <c r="U530" t="n">
        <v>8</v>
      </c>
      <c r="V530" t="n">
        <v>8</v>
      </c>
      <c r="W530" t="inlineStr">
        <is>
          <t>2005-04-28</t>
        </is>
      </c>
      <c r="X530" t="inlineStr">
        <is>
          <t>2005-04-28</t>
        </is>
      </c>
      <c r="Y530" t="inlineStr">
        <is>
          <t>1997-02-14</t>
        </is>
      </c>
      <c r="Z530" t="inlineStr">
        <is>
          <t>1997-02-14</t>
        </is>
      </c>
      <c r="AA530" t="n">
        <v>314</v>
      </c>
      <c r="AB530" t="n">
        <v>280</v>
      </c>
      <c r="AC530" t="n">
        <v>287</v>
      </c>
      <c r="AD530" t="n">
        <v>2</v>
      </c>
      <c r="AE530" t="n">
        <v>2</v>
      </c>
      <c r="AF530" t="n">
        <v>16</v>
      </c>
      <c r="AG530" t="n">
        <v>16</v>
      </c>
      <c r="AH530" t="n">
        <v>3</v>
      </c>
      <c r="AI530" t="n">
        <v>3</v>
      </c>
      <c r="AJ530" t="n">
        <v>4</v>
      </c>
      <c r="AK530" t="n">
        <v>4</v>
      </c>
      <c r="AL530" t="n">
        <v>6</v>
      </c>
      <c r="AM530" t="n">
        <v>6</v>
      </c>
      <c r="AN530" t="n">
        <v>1</v>
      </c>
      <c r="AO530" t="n">
        <v>1</v>
      </c>
      <c r="AP530" t="n">
        <v>5</v>
      </c>
      <c r="AQ530" t="n">
        <v>5</v>
      </c>
      <c r="AR530" t="inlineStr">
        <is>
          <t>No</t>
        </is>
      </c>
      <c r="AS530" t="inlineStr">
        <is>
          <t>Yes</t>
        </is>
      </c>
      <c r="AT530">
        <f>HYPERLINK("http://catalog.hathitrust.org/Record/003076126","HathiTrust Record")</f>
        <v/>
      </c>
      <c r="AU530">
        <f>HYPERLINK("https://creighton-primo.hosted.exlibrisgroup.com/primo-explore/search?tab=default_tab&amp;search_scope=EVERYTHING&amp;vid=01CRU&amp;lang=en_US&amp;offset=0&amp;query=any,contains,991001552839702656","Catalog Record")</f>
        <v/>
      </c>
      <c r="AV530">
        <f>HYPERLINK("http://www.worldcat.org/oclc/34323032","WorldCat Record")</f>
        <v/>
      </c>
      <c r="AW530" t="inlineStr">
        <is>
          <t>292409972:eng</t>
        </is>
      </c>
      <c r="AX530" t="inlineStr">
        <is>
          <t>34323032</t>
        </is>
      </c>
      <c r="AY530" t="inlineStr">
        <is>
          <t>991001552839702656</t>
        </is>
      </c>
      <c r="AZ530" t="inlineStr">
        <is>
          <t>991001552839702656</t>
        </is>
      </c>
      <c r="BA530" t="inlineStr">
        <is>
          <t>22101747290002656</t>
        </is>
      </c>
      <c r="BB530" t="inlineStr">
        <is>
          <t>BOOK</t>
        </is>
      </c>
      <c r="BD530" t="inlineStr">
        <is>
          <t>9780834207837</t>
        </is>
      </c>
      <c r="BE530" t="inlineStr">
        <is>
          <t>30001003474881</t>
        </is>
      </c>
      <c r="BF530" t="inlineStr">
        <is>
          <t>893460701</t>
        </is>
      </c>
    </row>
    <row r="531">
      <c r="A531" t="inlineStr">
        <is>
          <t>No</t>
        </is>
      </c>
      <c r="B531" t="inlineStr">
        <is>
          <t>CUHSL</t>
        </is>
      </c>
      <c r="C531" t="inlineStr">
        <is>
          <t>SHELVES</t>
        </is>
      </c>
      <c r="D531" t="inlineStr">
        <is>
          <t>W50 R8135a 2004</t>
        </is>
      </c>
      <c r="E531" t="inlineStr">
        <is>
          <t>0                      W  0050000R  8135a       2004</t>
        </is>
      </c>
      <c r="F531" t="inlineStr">
        <is>
          <t>Assisted suicide and the right to die : the interface of social science, public policy, and medical ethics / Barry Rosenfeld.</t>
        </is>
      </c>
      <c r="H531" t="inlineStr">
        <is>
          <t>No</t>
        </is>
      </c>
      <c r="I531" t="inlineStr">
        <is>
          <t>1</t>
        </is>
      </c>
      <c r="J531" t="inlineStr">
        <is>
          <t>No</t>
        </is>
      </c>
      <c r="K531" t="inlineStr">
        <is>
          <t>No</t>
        </is>
      </c>
      <c r="L531" t="inlineStr">
        <is>
          <t>0</t>
        </is>
      </c>
      <c r="N531" t="inlineStr">
        <is>
          <t>Washington, DC : American Psychological Association, c2004.</t>
        </is>
      </c>
      <c r="O531" t="inlineStr">
        <is>
          <t>2004</t>
        </is>
      </c>
      <c r="P531" t="inlineStr">
        <is>
          <t>1st ed.</t>
        </is>
      </c>
      <c r="Q531" t="inlineStr">
        <is>
          <t>eng</t>
        </is>
      </c>
      <c r="R531" t="inlineStr">
        <is>
          <t>dcu</t>
        </is>
      </c>
      <c r="T531" t="inlineStr">
        <is>
          <t xml:space="preserve">W  </t>
        </is>
      </c>
      <c r="U531" t="n">
        <v>5</v>
      </c>
      <c r="V531" t="n">
        <v>5</v>
      </c>
      <c r="W531" t="inlineStr">
        <is>
          <t>2005-10-17</t>
        </is>
      </c>
      <c r="X531" t="inlineStr">
        <is>
          <t>2005-10-17</t>
        </is>
      </c>
      <c r="Y531" t="inlineStr">
        <is>
          <t>2004-08-27</t>
        </is>
      </c>
      <c r="Z531" t="inlineStr">
        <is>
          <t>2004-08-27</t>
        </is>
      </c>
      <c r="AA531" t="n">
        <v>927</v>
      </c>
      <c r="AB531" t="n">
        <v>821</v>
      </c>
      <c r="AC531" t="n">
        <v>885</v>
      </c>
      <c r="AD531" t="n">
        <v>2</v>
      </c>
      <c r="AE531" t="n">
        <v>3</v>
      </c>
      <c r="AF531" t="n">
        <v>41</v>
      </c>
      <c r="AG531" t="n">
        <v>43</v>
      </c>
      <c r="AH531" t="n">
        <v>16</v>
      </c>
      <c r="AI531" t="n">
        <v>17</v>
      </c>
      <c r="AJ531" t="n">
        <v>7</v>
      </c>
      <c r="AK531" t="n">
        <v>7</v>
      </c>
      <c r="AL531" t="n">
        <v>16</v>
      </c>
      <c r="AM531" t="n">
        <v>16</v>
      </c>
      <c r="AN531" t="n">
        <v>1</v>
      </c>
      <c r="AO531" t="n">
        <v>2</v>
      </c>
      <c r="AP531" t="n">
        <v>8</v>
      </c>
      <c r="AQ531" t="n">
        <v>8</v>
      </c>
      <c r="AR531" t="inlineStr">
        <is>
          <t>No</t>
        </is>
      </c>
      <c r="AS531" t="inlineStr">
        <is>
          <t>No</t>
        </is>
      </c>
      <c r="AU531">
        <f>HYPERLINK("https://creighton-primo.hosted.exlibrisgroup.com/primo-explore/search?tab=default_tab&amp;search_scope=EVERYTHING&amp;vid=01CRU&amp;lang=en_US&amp;offset=0&amp;query=any,contains,991000380489702656","Catalog Record")</f>
        <v/>
      </c>
      <c r="AV531">
        <f>HYPERLINK("http://www.worldcat.org/oclc/54006533","WorldCat Record")</f>
        <v/>
      </c>
      <c r="AW531" t="inlineStr">
        <is>
          <t>794776740:eng</t>
        </is>
      </c>
      <c r="AX531" t="inlineStr">
        <is>
          <t>54006533</t>
        </is>
      </c>
      <c r="AY531" t="inlineStr">
        <is>
          <t>991000380489702656</t>
        </is>
      </c>
      <c r="AZ531" t="inlineStr">
        <is>
          <t>991000380489702656</t>
        </is>
      </c>
      <c r="BA531" t="inlineStr">
        <is>
          <t>2271457080002656</t>
        </is>
      </c>
      <c r="BB531" t="inlineStr">
        <is>
          <t>BOOK</t>
        </is>
      </c>
      <c r="BD531" t="inlineStr">
        <is>
          <t>9781591471028</t>
        </is>
      </c>
      <c r="BE531" t="inlineStr">
        <is>
          <t>30001004921138</t>
        </is>
      </c>
      <c r="BF531" t="inlineStr">
        <is>
          <t>893375497</t>
        </is>
      </c>
    </row>
    <row r="532">
      <c r="A532" t="inlineStr">
        <is>
          <t>No</t>
        </is>
      </c>
      <c r="B532" t="inlineStr">
        <is>
          <t>CUHSL</t>
        </is>
      </c>
      <c r="C532" t="inlineStr">
        <is>
          <t>SHELVES</t>
        </is>
      </c>
      <c r="D532" t="inlineStr">
        <is>
          <t>W 50 R822m 1991</t>
        </is>
      </c>
      <c r="E532" t="inlineStr">
        <is>
          <t>0                      W  0050000R  822m        1991</t>
        </is>
      </c>
      <c r="F532" t="inlineStr">
        <is>
          <t>Modern medicine and Jewish ethics / by Fred Rosner.</t>
        </is>
      </c>
      <c r="H532" t="inlineStr">
        <is>
          <t>No</t>
        </is>
      </c>
      <c r="I532" t="inlineStr">
        <is>
          <t>1</t>
        </is>
      </c>
      <c r="J532" t="inlineStr">
        <is>
          <t>No</t>
        </is>
      </c>
      <c r="K532" t="inlineStr">
        <is>
          <t>No</t>
        </is>
      </c>
      <c r="L532" t="inlineStr">
        <is>
          <t>0</t>
        </is>
      </c>
      <c r="M532" t="inlineStr">
        <is>
          <t>Rosner, Fred.</t>
        </is>
      </c>
      <c r="N532" t="inlineStr">
        <is>
          <t>Hoboken, N.J. : Ktav Pub. House ; New York : Yeshiva University Press, c1991.</t>
        </is>
      </c>
      <c r="O532" t="inlineStr">
        <is>
          <t>1991</t>
        </is>
      </c>
      <c r="P532" t="inlineStr">
        <is>
          <t>2nd rev. and augm. ed.</t>
        </is>
      </c>
      <c r="Q532" t="inlineStr">
        <is>
          <t>eng</t>
        </is>
      </c>
      <c r="R532" t="inlineStr">
        <is>
          <t>nju</t>
        </is>
      </c>
      <c r="T532" t="inlineStr">
        <is>
          <t xml:space="preserve">W  </t>
        </is>
      </c>
      <c r="U532" t="n">
        <v>12</v>
      </c>
      <c r="V532" t="n">
        <v>12</v>
      </c>
      <c r="W532" t="inlineStr">
        <is>
          <t>2000-04-21</t>
        </is>
      </c>
      <c r="X532" t="inlineStr">
        <is>
          <t>2000-04-21</t>
        </is>
      </c>
      <c r="Y532" t="inlineStr">
        <is>
          <t>1992-12-08</t>
        </is>
      </c>
      <c r="Z532" t="inlineStr">
        <is>
          <t>1992-12-08</t>
        </is>
      </c>
      <c r="AA532" t="n">
        <v>139</v>
      </c>
      <c r="AB532" t="n">
        <v>114</v>
      </c>
      <c r="AC532" t="n">
        <v>233</v>
      </c>
      <c r="AD532" t="n">
        <v>1</v>
      </c>
      <c r="AE532" t="n">
        <v>1</v>
      </c>
      <c r="AF532" t="n">
        <v>8</v>
      </c>
      <c r="AG532" t="n">
        <v>13</v>
      </c>
      <c r="AH532" t="n">
        <v>1</v>
      </c>
      <c r="AI532" t="n">
        <v>3</v>
      </c>
      <c r="AJ532" t="n">
        <v>2</v>
      </c>
      <c r="AK532" t="n">
        <v>3</v>
      </c>
      <c r="AL532" t="n">
        <v>6</v>
      </c>
      <c r="AM532" t="n">
        <v>9</v>
      </c>
      <c r="AN532" t="n">
        <v>0</v>
      </c>
      <c r="AO532" t="n">
        <v>0</v>
      </c>
      <c r="AP532" t="n">
        <v>1</v>
      </c>
      <c r="AQ532" t="n">
        <v>2</v>
      </c>
      <c r="AR532" t="inlineStr">
        <is>
          <t>No</t>
        </is>
      </c>
      <c r="AS532" t="inlineStr">
        <is>
          <t>Yes</t>
        </is>
      </c>
      <c r="AT532">
        <f>HYPERLINK("http://catalog.hathitrust.org/Record/007047390","HathiTrust Record")</f>
        <v/>
      </c>
      <c r="AU532">
        <f>HYPERLINK("https://creighton-primo.hosted.exlibrisgroup.com/primo-explore/search?tab=default_tab&amp;search_scope=EVERYTHING&amp;vid=01CRU&amp;lang=en_US&amp;offset=0&amp;query=any,contains,991001348249702656","Catalog Record")</f>
        <v/>
      </c>
      <c r="AV532">
        <f>HYPERLINK("http://www.worldcat.org/oclc/24766624","WorldCat Record")</f>
        <v/>
      </c>
      <c r="AW532" t="inlineStr">
        <is>
          <t>7357077:eng</t>
        </is>
      </c>
      <c r="AX532" t="inlineStr">
        <is>
          <t>24766624</t>
        </is>
      </c>
      <c r="AY532" t="inlineStr">
        <is>
          <t>991001348249702656</t>
        </is>
      </c>
      <c r="AZ532" t="inlineStr">
        <is>
          <t>991001348249702656</t>
        </is>
      </c>
      <c r="BA532" t="inlineStr">
        <is>
          <t>2271147210002656</t>
        </is>
      </c>
      <c r="BB532" t="inlineStr">
        <is>
          <t>BOOK</t>
        </is>
      </c>
      <c r="BD532" t="inlineStr">
        <is>
          <t>9780881250916</t>
        </is>
      </c>
      <c r="BE532" t="inlineStr">
        <is>
          <t>30001002458224</t>
        </is>
      </c>
      <c r="BF532" t="inlineStr">
        <is>
          <t>893364020</t>
        </is>
      </c>
    </row>
    <row r="533">
      <c r="A533" t="inlineStr">
        <is>
          <t>No</t>
        </is>
      </c>
      <c r="B533" t="inlineStr">
        <is>
          <t>CUHSL</t>
        </is>
      </c>
      <c r="C533" t="inlineStr">
        <is>
          <t>SHELVES</t>
        </is>
      </c>
      <c r="D533" t="inlineStr">
        <is>
          <t>W 50 R877h 1985</t>
        </is>
      </c>
      <c r="E533" t="inlineStr">
        <is>
          <t>0                      W  0050000R  877h        1985</t>
        </is>
      </c>
      <c r="F533" t="inlineStr">
        <is>
          <t>Hospital ethics committees : a challenge / Mary Alice Rowan.</t>
        </is>
      </c>
      <c r="H533" t="inlineStr">
        <is>
          <t>No</t>
        </is>
      </c>
      <c r="I533" t="inlineStr">
        <is>
          <t>1</t>
        </is>
      </c>
      <c r="J533" t="inlineStr">
        <is>
          <t>No</t>
        </is>
      </c>
      <c r="K533" t="inlineStr">
        <is>
          <t>No</t>
        </is>
      </c>
      <c r="L533" t="inlineStr">
        <is>
          <t>0</t>
        </is>
      </c>
      <c r="M533" t="inlineStr">
        <is>
          <t>Rowan, Mary Alice.</t>
        </is>
      </c>
      <c r="N533" t="inlineStr">
        <is>
          <t>St. Louis : Catholic Health Association of the United States, c1985.</t>
        </is>
      </c>
      <c r="O533" t="inlineStr">
        <is>
          <t>1985</t>
        </is>
      </c>
      <c r="Q533" t="inlineStr">
        <is>
          <t>eng</t>
        </is>
      </c>
      <c r="R533" t="inlineStr">
        <is>
          <t>mou</t>
        </is>
      </c>
      <c r="T533" t="inlineStr">
        <is>
          <t xml:space="preserve">W  </t>
        </is>
      </c>
      <c r="U533" t="n">
        <v>3</v>
      </c>
      <c r="V533" t="n">
        <v>3</v>
      </c>
      <c r="W533" t="inlineStr">
        <is>
          <t>1999-03-04</t>
        </is>
      </c>
      <c r="X533" t="inlineStr">
        <is>
          <t>1999-03-04</t>
        </is>
      </c>
      <c r="Y533" t="inlineStr">
        <is>
          <t>1988-04-20</t>
        </is>
      </c>
      <c r="Z533" t="inlineStr">
        <is>
          <t>1988-04-20</t>
        </is>
      </c>
      <c r="AA533" t="n">
        <v>11</v>
      </c>
      <c r="AB533" t="n">
        <v>11</v>
      </c>
      <c r="AC533" t="n">
        <v>11</v>
      </c>
      <c r="AD533" t="n">
        <v>1</v>
      </c>
      <c r="AE533" t="n">
        <v>1</v>
      </c>
      <c r="AF533" t="n">
        <v>2</v>
      </c>
      <c r="AG533" t="n">
        <v>2</v>
      </c>
      <c r="AH533" t="n">
        <v>0</v>
      </c>
      <c r="AI533" t="n">
        <v>0</v>
      </c>
      <c r="AJ533" t="n">
        <v>0</v>
      </c>
      <c r="AK533" t="n">
        <v>0</v>
      </c>
      <c r="AL533" t="n">
        <v>1</v>
      </c>
      <c r="AM533" t="n">
        <v>1</v>
      </c>
      <c r="AN533" t="n">
        <v>0</v>
      </c>
      <c r="AO533" t="n">
        <v>0</v>
      </c>
      <c r="AP533" t="n">
        <v>1</v>
      </c>
      <c r="AQ533" t="n">
        <v>1</v>
      </c>
      <c r="AR533" t="inlineStr">
        <is>
          <t>No</t>
        </is>
      </c>
      <c r="AS533" t="inlineStr">
        <is>
          <t>No</t>
        </is>
      </c>
      <c r="AU533">
        <f>HYPERLINK("https://creighton-primo.hosted.exlibrisgroup.com/primo-explore/search?tab=default_tab&amp;search_scope=EVERYTHING&amp;vid=01CRU&amp;lang=en_US&amp;offset=0&amp;query=any,contains,991001185229702656","Catalog Record")</f>
        <v/>
      </c>
      <c r="AV533">
        <f>HYPERLINK("http://www.worldcat.org/oclc/12851136","WorldCat Record")</f>
        <v/>
      </c>
      <c r="AW533" t="inlineStr">
        <is>
          <t>2833769780:eng</t>
        </is>
      </c>
      <c r="AX533" t="inlineStr">
        <is>
          <t>12851136</t>
        </is>
      </c>
      <c r="AY533" t="inlineStr">
        <is>
          <t>991001185229702656</t>
        </is>
      </c>
      <c r="AZ533" t="inlineStr">
        <is>
          <t>991001185229702656</t>
        </is>
      </c>
      <c r="BA533" t="inlineStr">
        <is>
          <t>2258561140002656</t>
        </is>
      </c>
      <c r="BB533" t="inlineStr">
        <is>
          <t>BOOK</t>
        </is>
      </c>
      <c r="BD533" t="inlineStr">
        <is>
          <t>9780871251084</t>
        </is>
      </c>
      <c r="BE533" t="inlineStr">
        <is>
          <t>30001000977811</t>
        </is>
      </c>
      <c r="BF533" t="inlineStr">
        <is>
          <t>893731732</t>
        </is>
      </c>
    </row>
    <row r="534">
      <c r="A534" t="inlineStr">
        <is>
          <t>No</t>
        </is>
      </c>
      <c r="B534" t="inlineStr">
        <is>
          <t>CUHSL</t>
        </is>
      </c>
      <c r="C534" t="inlineStr">
        <is>
          <t>SHELVES</t>
        </is>
      </c>
      <c r="D534" t="inlineStr">
        <is>
          <t>W 50 R888e 1981</t>
        </is>
      </c>
      <c r="E534" t="inlineStr">
        <is>
          <t>0                      W  0050000R  888e        1981</t>
        </is>
      </c>
      <c r="F534" t="inlineStr">
        <is>
          <t>Experimenting with truth : the fusion of religion with technology needed for humanity's survival / Rustum Roy.</t>
        </is>
      </c>
      <c r="H534" t="inlineStr">
        <is>
          <t>No</t>
        </is>
      </c>
      <c r="I534" t="inlineStr">
        <is>
          <t>1</t>
        </is>
      </c>
      <c r="J534" t="inlineStr">
        <is>
          <t>No</t>
        </is>
      </c>
      <c r="K534" t="inlineStr">
        <is>
          <t>No</t>
        </is>
      </c>
      <c r="L534" t="inlineStr">
        <is>
          <t>0</t>
        </is>
      </c>
      <c r="M534" t="inlineStr">
        <is>
          <t>Roy, Rustum.</t>
        </is>
      </c>
      <c r="N534" t="inlineStr">
        <is>
          <t>Oxford ; New York : Pergamon Press, c1981.</t>
        </is>
      </c>
      <c r="O534" t="inlineStr">
        <is>
          <t>1981</t>
        </is>
      </c>
      <c r="P534" t="inlineStr">
        <is>
          <t>1st ed.</t>
        </is>
      </c>
      <c r="Q534" t="inlineStr">
        <is>
          <t>eng</t>
        </is>
      </c>
      <c r="R534" t="inlineStr">
        <is>
          <t>enk</t>
        </is>
      </c>
      <c r="S534" t="inlineStr">
        <is>
          <t>Pergamon international library of science, technology, engineerig, and social studies</t>
        </is>
      </c>
      <c r="T534" t="inlineStr">
        <is>
          <t xml:space="preserve">W  </t>
        </is>
      </c>
      <c r="U534" t="n">
        <v>4</v>
      </c>
      <c r="V534" t="n">
        <v>4</v>
      </c>
      <c r="W534" t="inlineStr">
        <is>
          <t>1996-03-07</t>
        </is>
      </c>
      <c r="X534" t="inlineStr">
        <is>
          <t>1996-03-07</t>
        </is>
      </c>
      <c r="Y534" t="inlineStr">
        <is>
          <t>1987-10-02</t>
        </is>
      </c>
      <c r="Z534" t="inlineStr">
        <is>
          <t>1987-10-02</t>
        </is>
      </c>
      <c r="AA534" t="n">
        <v>277</v>
      </c>
      <c r="AB534" t="n">
        <v>214</v>
      </c>
      <c r="AC534" t="n">
        <v>263</v>
      </c>
      <c r="AD534" t="n">
        <v>1</v>
      </c>
      <c r="AE534" t="n">
        <v>2</v>
      </c>
      <c r="AF534" t="n">
        <v>12</v>
      </c>
      <c r="AG534" t="n">
        <v>16</v>
      </c>
      <c r="AH534" t="n">
        <v>4</v>
      </c>
      <c r="AI534" t="n">
        <v>6</v>
      </c>
      <c r="AJ534" t="n">
        <v>4</v>
      </c>
      <c r="AK534" t="n">
        <v>6</v>
      </c>
      <c r="AL534" t="n">
        <v>10</v>
      </c>
      <c r="AM534" t="n">
        <v>10</v>
      </c>
      <c r="AN534" t="n">
        <v>0</v>
      </c>
      <c r="AO534" t="n">
        <v>1</v>
      </c>
      <c r="AP534" t="n">
        <v>0</v>
      </c>
      <c r="AQ534" t="n">
        <v>0</v>
      </c>
      <c r="AR534" t="inlineStr">
        <is>
          <t>No</t>
        </is>
      </c>
      <c r="AS534" t="inlineStr">
        <is>
          <t>Yes</t>
        </is>
      </c>
      <c r="AT534">
        <f>HYPERLINK("http://catalog.hathitrust.org/Record/000129414","HathiTrust Record")</f>
        <v/>
      </c>
      <c r="AU534">
        <f>HYPERLINK("https://creighton-primo.hosted.exlibrisgroup.com/primo-explore/search?tab=default_tab&amp;search_scope=EVERYTHING&amp;vid=01CRU&amp;lang=en_US&amp;offset=0&amp;query=any,contains,991001125959702656","Catalog Record")</f>
        <v/>
      </c>
      <c r="AV534">
        <f>HYPERLINK("http://www.worldcat.org/oclc/6649731","WorldCat Record")</f>
        <v/>
      </c>
      <c r="AW534" t="inlineStr">
        <is>
          <t>867252867:eng</t>
        </is>
      </c>
      <c r="AX534" t="inlineStr">
        <is>
          <t>6649731</t>
        </is>
      </c>
      <c r="AY534" t="inlineStr">
        <is>
          <t>991001125959702656</t>
        </is>
      </c>
      <c r="AZ534" t="inlineStr">
        <is>
          <t>991001125959702656</t>
        </is>
      </c>
      <c r="BA534" t="inlineStr">
        <is>
          <t>2265877390002656</t>
        </is>
      </c>
      <c r="BB534" t="inlineStr">
        <is>
          <t>BOOK</t>
        </is>
      </c>
      <c r="BD534" t="inlineStr">
        <is>
          <t>9780080258195</t>
        </is>
      </c>
      <c r="BE534" t="inlineStr">
        <is>
          <t>30001000279788</t>
        </is>
      </c>
      <c r="BF534" t="inlineStr">
        <is>
          <t>893736233</t>
        </is>
      </c>
    </row>
    <row r="535">
      <c r="A535" t="inlineStr">
        <is>
          <t>No</t>
        </is>
      </c>
      <c r="B535" t="inlineStr">
        <is>
          <t>CUHSL</t>
        </is>
      </c>
      <c r="C535" t="inlineStr">
        <is>
          <t>SHELVES</t>
        </is>
      </c>
      <c r="D535" t="inlineStr">
        <is>
          <t>W 50 R965f 1975</t>
        </is>
      </c>
      <c r="E535" t="inlineStr">
        <is>
          <t>0                      W  0050000R  965f        1975</t>
        </is>
      </c>
      <c r="F535" t="inlineStr">
        <is>
          <t>Freedom to die : moral and legal aspects of euthanasia / by O. Ruth Russell.</t>
        </is>
      </c>
      <c r="H535" t="inlineStr">
        <is>
          <t>No</t>
        </is>
      </c>
      <c r="I535" t="inlineStr">
        <is>
          <t>1</t>
        </is>
      </c>
      <c r="J535" t="inlineStr">
        <is>
          <t>No</t>
        </is>
      </c>
      <c r="K535" t="inlineStr">
        <is>
          <t>No</t>
        </is>
      </c>
      <c r="L535" t="inlineStr">
        <is>
          <t>0</t>
        </is>
      </c>
      <c r="M535" t="inlineStr">
        <is>
          <t>Russell, O. Ruth (Olive Ruth)</t>
        </is>
      </c>
      <c r="N535" t="inlineStr">
        <is>
          <t>New York : Human Sciences Press, 1975.</t>
        </is>
      </c>
      <c r="O535" t="inlineStr">
        <is>
          <t>1975</t>
        </is>
      </c>
      <c r="Q535" t="inlineStr">
        <is>
          <t>eng</t>
        </is>
      </c>
      <c r="R535" t="inlineStr">
        <is>
          <t>nyu</t>
        </is>
      </c>
      <c r="T535" t="inlineStr">
        <is>
          <t xml:space="preserve">W  </t>
        </is>
      </c>
      <c r="U535" t="n">
        <v>20</v>
      </c>
      <c r="V535" t="n">
        <v>20</v>
      </c>
      <c r="W535" t="inlineStr">
        <is>
          <t>2005-11-01</t>
        </is>
      </c>
      <c r="X535" t="inlineStr">
        <is>
          <t>2005-11-01</t>
        </is>
      </c>
      <c r="Y535" t="inlineStr">
        <is>
          <t>1987-10-02</t>
        </is>
      </c>
      <c r="Z535" t="inlineStr">
        <is>
          <t>1987-10-02</t>
        </is>
      </c>
      <c r="AA535" t="n">
        <v>737</v>
      </c>
      <c r="AB535" t="n">
        <v>676</v>
      </c>
      <c r="AC535" t="n">
        <v>1178</v>
      </c>
      <c r="AD535" t="n">
        <v>3</v>
      </c>
      <c r="AE535" t="n">
        <v>7</v>
      </c>
      <c r="AF535" t="n">
        <v>22</v>
      </c>
      <c r="AG535" t="n">
        <v>40</v>
      </c>
      <c r="AH535" t="n">
        <v>3</v>
      </c>
      <c r="AI535" t="n">
        <v>8</v>
      </c>
      <c r="AJ535" t="n">
        <v>3</v>
      </c>
      <c r="AK535" t="n">
        <v>5</v>
      </c>
      <c r="AL535" t="n">
        <v>10</v>
      </c>
      <c r="AM535" t="n">
        <v>14</v>
      </c>
      <c r="AN535" t="n">
        <v>2</v>
      </c>
      <c r="AO535" t="n">
        <v>4</v>
      </c>
      <c r="AP535" t="n">
        <v>7</v>
      </c>
      <c r="AQ535" t="n">
        <v>14</v>
      </c>
      <c r="AR535" t="inlineStr">
        <is>
          <t>No</t>
        </is>
      </c>
      <c r="AS535" t="inlineStr">
        <is>
          <t>Yes</t>
        </is>
      </c>
      <c r="AT535">
        <f>HYPERLINK("http://catalog.hathitrust.org/Record/000014573","HathiTrust Record")</f>
        <v/>
      </c>
      <c r="AU535">
        <f>HYPERLINK("https://creighton-primo.hosted.exlibrisgroup.com/primo-explore/search?tab=default_tab&amp;search_scope=EVERYTHING&amp;vid=01CRU&amp;lang=en_US&amp;offset=0&amp;query=any,contains,991001125939702656","Catalog Record")</f>
        <v/>
      </c>
      <c r="AV535">
        <f>HYPERLINK("http://www.worldcat.org/oclc/914909","WorldCat Record")</f>
        <v/>
      </c>
      <c r="AW535" t="inlineStr">
        <is>
          <t>761198664:eng</t>
        </is>
      </c>
      <c r="AX535" t="inlineStr">
        <is>
          <t>914909</t>
        </is>
      </c>
      <c r="AY535" t="inlineStr">
        <is>
          <t>991001125939702656</t>
        </is>
      </c>
      <c r="AZ535" t="inlineStr">
        <is>
          <t>991001125939702656</t>
        </is>
      </c>
      <c r="BA535" t="inlineStr">
        <is>
          <t>2262576070002656</t>
        </is>
      </c>
      <c r="BB535" t="inlineStr">
        <is>
          <t>BOOK</t>
        </is>
      </c>
      <c r="BD535" t="inlineStr">
        <is>
          <t>9780877052166</t>
        </is>
      </c>
      <c r="BE535" t="inlineStr">
        <is>
          <t>30001000279770</t>
        </is>
      </c>
      <c r="BF535" t="inlineStr">
        <is>
          <t>893632735</t>
        </is>
      </c>
    </row>
    <row r="536">
      <c r="A536" t="inlineStr">
        <is>
          <t>No</t>
        </is>
      </c>
      <c r="B536" t="inlineStr">
        <is>
          <t>CUHSL</t>
        </is>
      </c>
      <c r="C536" t="inlineStr">
        <is>
          <t>SHELVES</t>
        </is>
      </c>
      <c r="D536" t="inlineStr">
        <is>
          <t>W 50 S416 1988</t>
        </is>
      </c>
      <c r="E536" t="inlineStr">
        <is>
          <t>0                      W  0050000S  416         1988</t>
        </is>
      </c>
      <c r="F536" t="inlineStr">
        <is>
          <t>Science and animals : addressing contemporary issues : from a conference held by the Scientists Center for Animal Welfare in Washington, D.C. on June 22-25, 1988 / edited by Helene N. Guttman, Joy A. Mench and Richard C. Simmonds.</t>
        </is>
      </c>
      <c r="H536" t="inlineStr">
        <is>
          <t>No</t>
        </is>
      </c>
      <c r="I536" t="inlineStr">
        <is>
          <t>1</t>
        </is>
      </c>
      <c r="J536" t="inlineStr">
        <is>
          <t>No</t>
        </is>
      </c>
      <c r="K536" t="inlineStr">
        <is>
          <t>No</t>
        </is>
      </c>
      <c r="L536" t="inlineStr">
        <is>
          <t>0</t>
        </is>
      </c>
      <c r="N536" t="inlineStr">
        <is>
          <t>Bethesda, MD : Scientists Center for Animal Welfare, c1989.</t>
        </is>
      </c>
      <c r="O536" t="inlineStr">
        <is>
          <t>1989</t>
        </is>
      </c>
      <c r="Q536" t="inlineStr">
        <is>
          <t>eng</t>
        </is>
      </c>
      <c r="R536" t="inlineStr">
        <is>
          <t>mdu</t>
        </is>
      </c>
      <c r="T536" t="inlineStr">
        <is>
          <t xml:space="preserve">W  </t>
        </is>
      </c>
      <c r="U536" t="n">
        <v>2</v>
      </c>
      <c r="V536" t="n">
        <v>2</v>
      </c>
      <c r="W536" t="inlineStr">
        <is>
          <t>1995-06-23</t>
        </is>
      </c>
      <c r="X536" t="inlineStr">
        <is>
          <t>1995-06-23</t>
        </is>
      </c>
      <c r="Y536" t="inlineStr">
        <is>
          <t>1989-07-20</t>
        </is>
      </c>
      <c r="Z536" t="inlineStr">
        <is>
          <t>1989-07-20</t>
        </is>
      </c>
      <c r="AA536" t="n">
        <v>108</v>
      </c>
      <c r="AB536" t="n">
        <v>95</v>
      </c>
      <c r="AC536" t="n">
        <v>97</v>
      </c>
      <c r="AD536" t="n">
        <v>3</v>
      </c>
      <c r="AE536" t="n">
        <v>3</v>
      </c>
      <c r="AF536" t="n">
        <v>5</v>
      </c>
      <c r="AG536" t="n">
        <v>5</v>
      </c>
      <c r="AH536" t="n">
        <v>0</v>
      </c>
      <c r="AI536" t="n">
        <v>0</v>
      </c>
      <c r="AJ536" t="n">
        <v>1</v>
      </c>
      <c r="AK536" t="n">
        <v>1</v>
      </c>
      <c r="AL536" t="n">
        <v>2</v>
      </c>
      <c r="AM536" t="n">
        <v>2</v>
      </c>
      <c r="AN536" t="n">
        <v>2</v>
      </c>
      <c r="AO536" t="n">
        <v>2</v>
      </c>
      <c r="AP536" t="n">
        <v>1</v>
      </c>
      <c r="AQ536" t="n">
        <v>1</v>
      </c>
      <c r="AR536" t="inlineStr">
        <is>
          <t>No</t>
        </is>
      </c>
      <c r="AS536" t="inlineStr">
        <is>
          <t>Yes</t>
        </is>
      </c>
      <c r="AT536">
        <f>HYPERLINK("http://catalog.hathitrust.org/Record/001825230","HathiTrust Record")</f>
        <v/>
      </c>
      <c r="AU536">
        <f>HYPERLINK("https://creighton-primo.hosted.exlibrisgroup.com/primo-explore/search?tab=default_tab&amp;search_scope=EVERYTHING&amp;vid=01CRU&amp;lang=en_US&amp;offset=0&amp;query=any,contains,991001309769702656","Catalog Record")</f>
        <v/>
      </c>
      <c r="AV536">
        <f>HYPERLINK("http://www.worldcat.org/oclc/19526206","WorldCat Record")</f>
        <v/>
      </c>
      <c r="AW536" t="inlineStr">
        <is>
          <t>427075777:eng</t>
        </is>
      </c>
      <c r="AX536" t="inlineStr">
        <is>
          <t>19526206</t>
        </is>
      </c>
      <c r="AY536" t="inlineStr">
        <is>
          <t>991001309769702656</t>
        </is>
      </c>
      <c r="AZ536" t="inlineStr">
        <is>
          <t>991001309769702656</t>
        </is>
      </c>
      <c r="BA536" t="inlineStr">
        <is>
          <t>2257484340002656</t>
        </is>
      </c>
      <c r="BB536" t="inlineStr">
        <is>
          <t>BOOK</t>
        </is>
      </c>
      <c r="BE536" t="inlineStr">
        <is>
          <t>30001001750522</t>
        </is>
      </c>
      <c r="BF536" t="inlineStr">
        <is>
          <t>893161881</t>
        </is>
      </c>
    </row>
    <row r="537">
      <c r="A537" t="inlineStr">
        <is>
          <t>No</t>
        </is>
      </c>
      <c r="B537" t="inlineStr">
        <is>
          <t>CUHSL</t>
        </is>
      </c>
      <c r="C537" t="inlineStr">
        <is>
          <t>SHELVES</t>
        </is>
      </c>
      <c r="D537" t="inlineStr">
        <is>
          <t>W 50 S423c 1980</t>
        </is>
      </c>
      <c r="E537" t="inlineStr">
        <is>
          <t>0                      W  0050000S  423c        1980</t>
        </is>
      </c>
      <c r="F537" t="inlineStr">
        <is>
          <t>A Christian framework for medical ethics / C. Gordon Scorer.</t>
        </is>
      </c>
      <c r="H537" t="inlineStr">
        <is>
          <t>No</t>
        </is>
      </c>
      <c r="I537" t="inlineStr">
        <is>
          <t>1</t>
        </is>
      </c>
      <c r="J537" t="inlineStr">
        <is>
          <t>No</t>
        </is>
      </c>
      <c r="K537" t="inlineStr">
        <is>
          <t>No</t>
        </is>
      </c>
      <c r="L537" t="inlineStr">
        <is>
          <t>0</t>
        </is>
      </c>
      <c r="M537" t="inlineStr">
        <is>
          <t>Scorer, C. Gordon (Charles Gordon)</t>
        </is>
      </c>
      <c r="N537" t="inlineStr">
        <is>
          <t>London : Christian Medical Fellowship Publications, 1980.</t>
        </is>
      </c>
      <c r="O537" t="inlineStr">
        <is>
          <t>1980</t>
        </is>
      </c>
      <c r="Q537" t="inlineStr">
        <is>
          <t>eng</t>
        </is>
      </c>
      <c r="R537" t="inlineStr">
        <is>
          <t>enk</t>
        </is>
      </c>
      <c r="T537" t="inlineStr">
        <is>
          <t xml:space="preserve">W  </t>
        </is>
      </c>
      <c r="U537" t="n">
        <v>4</v>
      </c>
      <c r="V537" t="n">
        <v>4</v>
      </c>
      <c r="W537" t="inlineStr">
        <is>
          <t>1988-04-08</t>
        </is>
      </c>
      <c r="X537" t="inlineStr">
        <is>
          <t>1988-04-08</t>
        </is>
      </c>
      <c r="Y537" t="inlineStr">
        <is>
          <t>1987-10-02</t>
        </is>
      </c>
      <c r="Z537" t="inlineStr">
        <is>
          <t>1987-10-02</t>
        </is>
      </c>
      <c r="AA537" t="n">
        <v>18</v>
      </c>
      <c r="AB537" t="n">
        <v>7</v>
      </c>
      <c r="AC537" t="n">
        <v>7</v>
      </c>
      <c r="AD537" t="n">
        <v>1</v>
      </c>
      <c r="AE537" t="n">
        <v>1</v>
      </c>
      <c r="AF537" t="n">
        <v>0</v>
      </c>
      <c r="AG537" t="n">
        <v>0</v>
      </c>
      <c r="AH537" t="n">
        <v>0</v>
      </c>
      <c r="AI537" t="n">
        <v>0</v>
      </c>
      <c r="AJ537" t="n">
        <v>0</v>
      </c>
      <c r="AK537" t="n">
        <v>0</v>
      </c>
      <c r="AL537" t="n">
        <v>0</v>
      </c>
      <c r="AM537" t="n">
        <v>0</v>
      </c>
      <c r="AN537" t="n">
        <v>0</v>
      </c>
      <c r="AO537" t="n">
        <v>0</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HYPERLINK("https://creighton-primo.hosted.exlibrisgroup.com/primo-explore/search?tab=default_tab&amp;search_scope=EVERYTHING&amp;vid=01CRU&amp;lang=en_US&amp;offset=0&amp;query=any,contains,991001256559702656","Catalog Record")</f>
        <v/>
      </c>
      <c r="AV537">
        <f>HYPERLINK("http://www.worldcat.org/oclc/9010477","WorldCat Record")</f>
        <v/>
      </c>
      <c r="AW537" t="inlineStr">
        <is>
          <t>21066483:eng</t>
        </is>
      </c>
      <c r="AX537" t="inlineStr">
        <is>
          <t>9010477</t>
        </is>
      </c>
      <c r="AY537" t="inlineStr">
        <is>
          <t>991001256559702656</t>
        </is>
      </c>
      <c r="AZ537" t="inlineStr">
        <is>
          <t>991001256559702656</t>
        </is>
      </c>
      <c r="BA537" t="inlineStr">
        <is>
          <t>2263277830002656</t>
        </is>
      </c>
      <c r="BB537" t="inlineStr">
        <is>
          <t>BOOK</t>
        </is>
      </c>
      <c r="BD537" t="inlineStr">
        <is>
          <t>9780851119724</t>
        </is>
      </c>
      <c r="BE537" t="inlineStr">
        <is>
          <t>30001000344996</t>
        </is>
      </c>
      <c r="BF537" t="inlineStr">
        <is>
          <t>893134396</t>
        </is>
      </c>
    </row>
    <row r="538">
      <c r="A538" t="inlineStr">
        <is>
          <t>No</t>
        </is>
      </c>
      <c r="B538" t="inlineStr">
        <is>
          <t>CUHSL</t>
        </is>
      </c>
      <c r="C538" t="inlineStr">
        <is>
          <t>SHELVES</t>
        </is>
      </c>
      <c r="D538" t="inlineStr">
        <is>
          <t>W 50 S446 1996</t>
        </is>
      </c>
      <c r="E538" t="inlineStr">
        <is>
          <t>0                      W  0050000S  446         1996</t>
        </is>
      </c>
      <c r="F538" t="inlineStr">
        <is>
          <t>Secular bioethics in theological perspective / edited by Earl E. Shelp.</t>
        </is>
      </c>
      <c r="H538" t="inlineStr">
        <is>
          <t>No</t>
        </is>
      </c>
      <c r="I538" t="inlineStr">
        <is>
          <t>1</t>
        </is>
      </c>
      <c r="J538" t="inlineStr">
        <is>
          <t>No</t>
        </is>
      </c>
      <c r="K538" t="inlineStr">
        <is>
          <t>No</t>
        </is>
      </c>
      <c r="L538" t="inlineStr">
        <is>
          <t>0</t>
        </is>
      </c>
      <c r="N538" t="inlineStr">
        <is>
          <t>Dordrecht ; Boston : Kluwer Academic Publishers, c1996.</t>
        </is>
      </c>
      <c r="O538" t="inlineStr">
        <is>
          <t>1996</t>
        </is>
      </c>
      <c r="Q538" t="inlineStr">
        <is>
          <t>eng</t>
        </is>
      </c>
      <c r="R538" t="inlineStr">
        <is>
          <t xml:space="preserve">ne </t>
        </is>
      </c>
      <c r="S538" t="inlineStr">
        <is>
          <t>Theology and medicine ; v. 8</t>
        </is>
      </c>
      <c r="T538" t="inlineStr">
        <is>
          <t xml:space="preserve">W  </t>
        </is>
      </c>
      <c r="U538" t="n">
        <v>10</v>
      </c>
      <c r="V538" t="n">
        <v>10</v>
      </c>
      <c r="W538" t="inlineStr">
        <is>
          <t>2009-04-22</t>
        </is>
      </c>
      <c r="X538" t="inlineStr">
        <is>
          <t>2009-04-22</t>
        </is>
      </c>
      <c r="Y538" t="inlineStr">
        <is>
          <t>1997-12-15</t>
        </is>
      </c>
      <c r="Z538" t="inlineStr">
        <is>
          <t>1997-12-15</t>
        </is>
      </c>
      <c r="AA538" t="n">
        <v>141</v>
      </c>
      <c r="AB538" t="n">
        <v>99</v>
      </c>
      <c r="AC538" t="n">
        <v>124</v>
      </c>
      <c r="AD538" t="n">
        <v>1</v>
      </c>
      <c r="AE538" t="n">
        <v>1</v>
      </c>
      <c r="AF538" t="n">
        <v>10</v>
      </c>
      <c r="AG538" t="n">
        <v>11</v>
      </c>
      <c r="AH538" t="n">
        <v>2</v>
      </c>
      <c r="AI538" t="n">
        <v>3</v>
      </c>
      <c r="AJ538" t="n">
        <v>3</v>
      </c>
      <c r="AK538" t="n">
        <v>3</v>
      </c>
      <c r="AL538" t="n">
        <v>6</v>
      </c>
      <c r="AM538" t="n">
        <v>7</v>
      </c>
      <c r="AN538" t="n">
        <v>0</v>
      </c>
      <c r="AO538" t="n">
        <v>0</v>
      </c>
      <c r="AP538" t="n">
        <v>1</v>
      </c>
      <c r="AQ538" t="n">
        <v>1</v>
      </c>
      <c r="AR538" t="inlineStr">
        <is>
          <t>No</t>
        </is>
      </c>
      <c r="AS538" t="inlineStr">
        <is>
          <t>Yes</t>
        </is>
      </c>
      <c r="AT538">
        <f>HYPERLINK("http://catalog.hathitrust.org/Record/003129524","HathiTrust Record")</f>
        <v/>
      </c>
      <c r="AU538">
        <f>HYPERLINK("https://creighton-primo.hosted.exlibrisgroup.com/primo-explore/search?tab=default_tab&amp;search_scope=EVERYTHING&amp;vid=01CRU&amp;lang=en_US&amp;offset=0&amp;query=any,contains,991001199439702656","Catalog Record")</f>
        <v/>
      </c>
      <c r="AV538">
        <f>HYPERLINK("http://www.worldcat.org/oclc/33012736","WorldCat Record")</f>
        <v/>
      </c>
      <c r="AW538" t="inlineStr">
        <is>
          <t>37432290:eng</t>
        </is>
      </c>
      <c r="AX538" t="inlineStr">
        <is>
          <t>33012736</t>
        </is>
      </c>
      <c r="AY538" t="inlineStr">
        <is>
          <t>991001199439702656</t>
        </is>
      </c>
      <c r="AZ538" t="inlineStr">
        <is>
          <t>991001199439702656</t>
        </is>
      </c>
      <c r="BA538" t="inlineStr">
        <is>
          <t>2255096080002656</t>
        </is>
      </c>
      <c r="BB538" t="inlineStr">
        <is>
          <t>BOOK</t>
        </is>
      </c>
      <c r="BD538" t="inlineStr">
        <is>
          <t>9780792337355</t>
        </is>
      </c>
      <c r="BE538" t="inlineStr">
        <is>
          <t>30001003654730</t>
        </is>
      </c>
      <c r="BF538" t="inlineStr">
        <is>
          <t>893727333</t>
        </is>
      </c>
    </row>
    <row r="539">
      <c r="A539" t="inlineStr">
        <is>
          <t>No</t>
        </is>
      </c>
      <c r="B539" t="inlineStr">
        <is>
          <t>CUHSL</t>
        </is>
      </c>
      <c r="C539" t="inlineStr">
        <is>
          <t>SHELVES</t>
        </is>
      </c>
      <c r="D539" t="inlineStr">
        <is>
          <t>W 50 S455e 1995</t>
        </is>
      </c>
      <c r="E539" t="inlineStr">
        <is>
          <t>0                      W  0050000S  455e        1995</t>
        </is>
      </c>
      <c r="F539" t="inlineStr">
        <is>
          <t>Ethical considerations in the business aspects of health care / Woodstock Theological Center Seminar in Business Ethics.</t>
        </is>
      </c>
      <c r="H539" t="inlineStr">
        <is>
          <t>No</t>
        </is>
      </c>
      <c r="I539" t="inlineStr">
        <is>
          <t>1</t>
        </is>
      </c>
      <c r="J539" t="inlineStr">
        <is>
          <t>No</t>
        </is>
      </c>
      <c r="K539" t="inlineStr">
        <is>
          <t>No</t>
        </is>
      </c>
      <c r="L539" t="inlineStr">
        <is>
          <t>0</t>
        </is>
      </c>
      <c r="M539" t="inlineStr">
        <is>
          <t>Seminar in Business Ethics.</t>
        </is>
      </c>
      <c r="N539" t="inlineStr">
        <is>
          <t>Washington, D.C. : Georgetown University Press, c1995.</t>
        </is>
      </c>
      <c r="O539" t="inlineStr">
        <is>
          <t>1995</t>
        </is>
      </c>
      <c r="Q539" t="inlineStr">
        <is>
          <t>eng</t>
        </is>
      </c>
      <c r="R539" t="inlineStr">
        <is>
          <t>dcu</t>
        </is>
      </c>
      <c r="T539" t="inlineStr">
        <is>
          <t xml:space="preserve">W  </t>
        </is>
      </c>
      <c r="U539" t="n">
        <v>4</v>
      </c>
      <c r="V539" t="n">
        <v>4</v>
      </c>
      <c r="W539" t="inlineStr">
        <is>
          <t>2001-12-05</t>
        </is>
      </c>
      <c r="X539" t="inlineStr">
        <is>
          <t>2001-12-05</t>
        </is>
      </c>
      <c r="Y539" t="inlineStr">
        <is>
          <t>1998-03-24</t>
        </is>
      </c>
      <c r="Z539" t="inlineStr">
        <is>
          <t>1998-03-24</t>
        </is>
      </c>
      <c r="AA539" t="n">
        <v>98</v>
      </c>
      <c r="AB539" t="n">
        <v>84</v>
      </c>
      <c r="AC539" t="n">
        <v>85</v>
      </c>
      <c r="AD539" t="n">
        <v>1</v>
      </c>
      <c r="AE539" t="n">
        <v>1</v>
      </c>
      <c r="AF539" t="n">
        <v>8</v>
      </c>
      <c r="AG539" t="n">
        <v>8</v>
      </c>
      <c r="AH539" t="n">
        <v>3</v>
      </c>
      <c r="AI539" t="n">
        <v>3</v>
      </c>
      <c r="AJ539" t="n">
        <v>0</v>
      </c>
      <c r="AK539" t="n">
        <v>0</v>
      </c>
      <c r="AL539" t="n">
        <v>5</v>
      </c>
      <c r="AM539" t="n">
        <v>5</v>
      </c>
      <c r="AN539" t="n">
        <v>0</v>
      </c>
      <c r="AO539" t="n">
        <v>0</v>
      </c>
      <c r="AP539" t="n">
        <v>2</v>
      </c>
      <c r="AQ539" t="n">
        <v>2</v>
      </c>
      <c r="AR539" t="inlineStr">
        <is>
          <t>No</t>
        </is>
      </c>
      <c r="AS539" t="inlineStr">
        <is>
          <t>No</t>
        </is>
      </c>
      <c r="AU539">
        <f>HYPERLINK("https://creighton-primo.hosted.exlibrisgroup.com/primo-explore/search?tab=default_tab&amp;search_scope=EVERYTHING&amp;vid=01CRU&amp;lang=en_US&amp;offset=0&amp;query=any,contains,991001293749702656","Catalog Record")</f>
        <v/>
      </c>
      <c r="AV539">
        <f>HYPERLINK("http://www.worldcat.org/oclc/31970408","WorldCat Record")</f>
        <v/>
      </c>
      <c r="AW539" t="inlineStr">
        <is>
          <t>890631139:eng</t>
        </is>
      </c>
      <c r="AX539" t="inlineStr">
        <is>
          <t>31970408</t>
        </is>
      </c>
      <c r="AY539" t="inlineStr">
        <is>
          <t>991001293749702656</t>
        </is>
      </c>
      <c r="AZ539" t="inlineStr">
        <is>
          <t>991001293749702656</t>
        </is>
      </c>
      <c r="BA539" t="inlineStr">
        <is>
          <t>2267650650002656</t>
        </is>
      </c>
      <c r="BB539" t="inlineStr">
        <is>
          <t>BOOK</t>
        </is>
      </c>
      <c r="BD539" t="inlineStr">
        <is>
          <t>9780878405879</t>
        </is>
      </c>
      <c r="BE539" t="inlineStr">
        <is>
          <t>30001003740133</t>
        </is>
      </c>
      <c r="BF539" t="inlineStr">
        <is>
          <t>893816283</t>
        </is>
      </c>
    </row>
    <row r="540">
      <c r="A540" t="inlineStr">
        <is>
          <t>No</t>
        </is>
      </c>
      <c r="B540" t="inlineStr">
        <is>
          <t>CUHSL</t>
        </is>
      </c>
      <c r="C540" t="inlineStr">
        <is>
          <t>SHELVES</t>
        </is>
      </c>
      <c r="D540" t="inlineStr">
        <is>
          <t>W 50 S518 1987</t>
        </is>
      </c>
      <c r="E540" t="inlineStr">
        <is>
          <t>0                      W  0050000S  518         1987</t>
        </is>
      </c>
      <c r="F540" t="inlineStr">
        <is>
          <t>Sexuality and medicine / edited by Earl E. Shelp.</t>
        </is>
      </c>
      <c r="G540" t="inlineStr">
        <is>
          <t>V. 1</t>
        </is>
      </c>
      <c r="H540" t="inlineStr">
        <is>
          <t>Yes</t>
        </is>
      </c>
      <c r="I540" t="inlineStr">
        <is>
          <t>1</t>
        </is>
      </c>
      <c r="J540" t="inlineStr">
        <is>
          <t>No</t>
        </is>
      </c>
      <c r="K540" t="inlineStr">
        <is>
          <t>No</t>
        </is>
      </c>
      <c r="L540" t="inlineStr">
        <is>
          <t>0</t>
        </is>
      </c>
      <c r="N540" t="inlineStr">
        <is>
          <t>Dordrecht ; Boston : D. Reidel Pub. Co. ; Norwell, MA, U.S.A. : Sold and distributed in the U.S.A. and Canada by Kluwer Academic Publishers, c1987.</t>
        </is>
      </c>
      <c r="O540" t="inlineStr">
        <is>
          <t>1987</t>
        </is>
      </c>
      <c r="Q540" t="inlineStr">
        <is>
          <t>eng</t>
        </is>
      </c>
      <c r="R540" t="inlineStr">
        <is>
          <t xml:space="preserve">ne </t>
        </is>
      </c>
      <c r="S540" t="inlineStr">
        <is>
          <t>Philosophy and medicine ; v. 22-23</t>
        </is>
      </c>
      <c r="T540" t="inlineStr">
        <is>
          <t xml:space="preserve">W  </t>
        </is>
      </c>
      <c r="U540" t="n">
        <v>5</v>
      </c>
      <c r="V540" t="n">
        <v>13</v>
      </c>
      <c r="W540" t="inlineStr">
        <is>
          <t>2005-04-12</t>
        </is>
      </c>
      <c r="X540" t="inlineStr">
        <is>
          <t>2005-04-12</t>
        </is>
      </c>
      <c r="Y540" t="inlineStr">
        <is>
          <t>1989-05-03</t>
        </is>
      </c>
      <c r="Z540" t="inlineStr">
        <is>
          <t>1989-05-03</t>
        </is>
      </c>
      <c r="AA540" t="n">
        <v>411</v>
      </c>
      <c r="AB540" t="n">
        <v>322</v>
      </c>
      <c r="AC540" t="n">
        <v>337</v>
      </c>
      <c r="AD540" t="n">
        <v>2</v>
      </c>
      <c r="AE540" t="n">
        <v>2</v>
      </c>
      <c r="AF540" t="n">
        <v>22</v>
      </c>
      <c r="AG540" t="n">
        <v>23</v>
      </c>
      <c r="AH540" t="n">
        <v>8</v>
      </c>
      <c r="AI540" t="n">
        <v>9</v>
      </c>
      <c r="AJ540" t="n">
        <v>6</v>
      </c>
      <c r="AK540" t="n">
        <v>6</v>
      </c>
      <c r="AL540" t="n">
        <v>14</v>
      </c>
      <c r="AM540" t="n">
        <v>15</v>
      </c>
      <c r="AN540" t="n">
        <v>1</v>
      </c>
      <c r="AO540" t="n">
        <v>1</v>
      </c>
      <c r="AP540" t="n">
        <v>1</v>
      </c>
      <c r="AQ540" t="n">
        <v>1</v>
      </c>
      <c r="AR540" t="inlineStr">
        <is>
          <t>No</t>
        </is>
      </c>
      <c r="AS540" t="inlineStr">
        <is>
          <t>Yes</t>
        </is>
      </c>
      <c r="AT540">
        <f>HYPERLINK("http://catalog.hathitrust.org/Record/000815531","HathiTrust Record")</f>
        <v/>
      </c>
      <c r="AU540">
        <f>HYPERLINK("https://creighton-primo.hosted.exlibrisgroup.com/primo-explore/search?tab=default_tab&amp;search_scope=EVERYTHING&amp;vid=01CRU&amp;lang=en_US&amp;offset=0&amp;query=any,contains,991001245869702656","Catalog Record")</f>
        <v/>
      </c>
      <c r="AV540">
        <f>HYPERLINK("http://www.worldcat.org/oclc/14520869","WorldCat Record")</f>
        <v/>
      </c>
      <c r="AW540" t="inlineStr">
        <is>
          <t>3133708100:eng</t>
        </is>
      </c>
      <c r="AX540" t="inlineStr">
        <is>
          <t>14520869</t>
        </is>
      </c>
      <c r="AY540" t="inlineStr">
        <is>
          <t>991001245869702656</t>
        </is>
      </c>
      <c r="AZ540" t="inlineStr">
        <is>
          <t>991001245869702656</t>
        </is>
      </c>
      <c r="BA540" t="inlineStr">
        <is>
          <t>2258098040002656</t>
        </is>
      </c>
      <c r="BB540" t="inlineStr">
        <is>
          <t>BOOK</t>
        </is>
      </c>
      <c r="BD540" t="inlineStr">
        <is>
          <t>9789027723864</t>
        </is>
      </c>
      <c r="BE540" t="inlineStr">
        <is>
          <t>30001001677220</t>
        </is>
      </c>
      <c r="BF540" t="inlineStr">
        <is>
          <t>893460385</t>
        </is>
      </c>
    </row>
    <row r="541">
      <c r="A541" t="inlineStr">
        <is>
          <t>No</t>
        </is>
      </c>
      <c r="B541" t="inlineStr">
        <is>
          <t>CUHSL</t>
        </is>
      </c>
      <c r="C541" t="inlineStr">
        <is>
          <t>SHELVES</t>
        </is>
      </c>
      <c r="D541" t="inlineStr">
        <is>
          <t>W 50 S518 1987</t>
        </is>
      </c>
      <c r="E541" t="inlineStr">
        <is>
          <t>0                      W  0050000S  518         1987</t>
        </is>
      </c>
      <c r="F541" t="inlineStr">
        <is>
          <t>Sexuality and medicine / edited by Earl E. Shelp.</t>
        </is>
      </c>
      <c r="G541" t="inlineStr">
        <is>
          <t>V. 2</t>
        </is>
      </c>
      <c r="H541" t="inlineStr">
        <is>
          <t>Yes</t>
        </is>
      </c>
      <c r="I541" t="inlineStr">
        <is>
          <t>1</t>
        </is>
      </c>
      <c r="J541" t="inlineStr">
        <is>
          <t>No</t>
        </is>
      </c>
      <c r="K541" t="inlineStr">
        <is>
          <t>No</t>
        </is>
      </c>
      <c r="L541" t="inlineStr">
        <is>
          <t>0</t>
        </is>
      </c>
      <c r="N541" t="inlineStr">
        <is>
          <t>Dordrecht ; Boston : D. Reidel Pub. Co. ; Norwell, MA, U.S.A. : Sold and distributed in the U.S.A. and Canada by Kluwer Academic Publishers, c1987.</t>
        </is>
      </c>
      <c r="O541" t="inlineStr">
        <is>
          <t>1987</t>
        </is>
      </c>
      <c r="Q541" t="inlineStr">
        <is>
          <t>eng</t>
        </is>
      </c>
      <c r="R541" t="inlineStr">
        <is>
          <t xml:space="preserve">ne </t>
        </is>
      </c>
      <c r="S541" t="inlineStr">
        <is>
          <t>Philosophy and medicine ; v. 22-23</t>
        </is>
      </c>
      <c r="T541" t="inlineStr">
        <is>
          <t xml:space="preserve">W  </t>
        </is>
      </c>
      <c r="U541" t="n">
        <v>8</v>
      </c>
      <c r="V541" t="n">
        <v>13</v>
      </c>
      <c r="W541" t="inlineStr">
        <is>
          <t>1991-12-11</t>
        </is>
      </c>
      <c r="X541" t="inlineStr">
        <is>
          <t>2005-04-12</t>
        </is>
      </c>
      <c r="Y541" t="inlineStr">
        <is>
          <t>1989-05-03</t>
        </is>
      </c>
      <c r="Z541" t="inlineStr">
        <is>
          <t>1989-05-03</t>
        </is>
      </c>
      <c r="AA541" t="n">
        <v>411</v>
      </c>
      <c r="AB541" t="n">
        <v>322</v>
      </c>
      <c r="AC541" t="n">
        <v>337</v>
      </c>
      <c r="AD541" t="n">
        <v>2</v>
      </c>
      <c r="AE541" t="n">
        <v>2</v>
      </c>
      <c r="AF541" t="n">
        <v>22</v>
      </c>
      <c r="AG541" t="n">
        <v>23</v>
      </c>
      <c r="AH541" t="n">
        <v>8</v>
      </c>
      <c r="AI541" t="n">
        <v>9</v>
      </c>
      <c r="AJ541" t="n">
        <v>6</v>
      </c>
      <c r="AK541" t="n">
        <v>6</v>
      </c>
      <c r="AL541" t="n">
        <v>14</v>
      </c>
      <c r="AM541" t="n">
        <v>15</v>
      </c>
      <c r="AN541" t="n">
        <v>1</v>
      </c>
      <c r="AO541" t="n">
        <v>1</v>
      </c>
      <c r="AP541" t="n">
        <v>1</v>
      </c>
      <c r="AQ541" t="n">
        <v>1</v>
      </c>
      <c r="AR541" t="inlineStr">
        <is>
          <t>No</t>
        </is>
      </c>
      <c r="AS541" t="inlineStr">
        <is>
          <t>Yes</t>
        </is>
      </c>
      <c r="AT541">
        <f>HYPERLINK("http://catalog.hathitrust.org/Record/000815531","HathiTrust Record")</f>
        <v/>
      </c>
      <c r="AU541">
        <f>HYPERLINK("https://creighton-primo.hosted.exlibrisgroup.com/primo-explore/search?tab=default_tab&amp;search_scope=EVERYTHING&amp;vid=01CRU&amp;lang=en_US&amp;offset=0&amp;query=any,contains,991001245869702656","Catalog Record")</f>
        <v/>
      </c>
      <c r="AV541">
        <f>HYPERLINK("http://www.worldcat.org/oclc/14520869","WorldCat Record")</f>
        <v/>
      </c>
      <c r="AW541" t="inlineStr">
        <is>
          <t>3133708100:eng</t>
        </is>
      </c>
      <c r="AX541" t="inlineStr">
        <is>
          <t>14520869</t>
        </is>
      </c>
      <c r="AY541" t="inlineStr">
        <is>
          <t>991001245869702656</t>
        </is>
      </c>
      <c r="AZ541" t="inlineStr">
        <is>
          <t>991001245869702656</t>
        </is>
      </c>
      <c r="BA541" t="inlineStr">
        <is>
          <t>2258098040002656</t>
        </is>
      </c>
      <c r="BB541" t="inlineStr">
        <is>
          <t>BOOK</t>
        </is>
      </c>
      <c r="BD541" t="inlineStr">
        <is>
          <t>9789027723864</t>
        </is>
      </c>
      <c r="BE541" t="inlineStr">
        <is>
          <t>30001001677246</t>
        </is>
      </c>
      <c r="BF541" t="inlineStr">
        <is>
          <t>893450978</t>
        </is>
      </c>
    </row>
    <row r="542">
      <c r="A542" t="inlineStr">
        <is>
          <t>No</t>
        </is>
      </c>
      <c r="B542" t="inlineStr">
        <is>
          <t>CUHSL</t>
        </is>
      </c>
      <c r="C542" t="inlineStr">
        <is>
          <t>SHELVES</t>
        </is>
      </c>
      <c r="D542" t="inlineStr">
        <is>
          <t>W 50 S528t 1984</t>
        </is>
      </c>
      <c r="E542" t="inlineStr">
        <is>
          <t>0                      W  0050000S  528t        1984</t>
        </is>
      </c>
      <c r="F542" t="inlineStr">
        <is>
          <t>Twelve problems in health care ethics / Thomas A. Shannon.</t>
        </is>
      </c>
      <c r="H542" t="inlineStr">
        <is>
          <t>No</t>
        </is>
      </c>
      <c r="I542" t="inlineStr">
        <is>
          <t>1</t>
        </is>
      </c>
      <c r="J542" t="inlineStr">
        <is>
          <t>No</t>
        </is>
      </c>
      <c r="K542" t="inlineStr">
        <is>
          <t>No</t>
        </is>
      </c>
      <c r="L542" t="inlineStr">
        <is>
          <t>0</t>
        </is>
      </c>
      <c r="M542" t="inlineStr">
        <is>
          <t>Shannon, Thomas A. (Thomas Anthony), 1940-</t>
        </is>
      </c>
      <c r="N542" t="inlineStr">
        <is>
          <t>New York : E. Mellen Press, c1984.</t>
        </is>
      </c>
      <c r="O542" t="inlineStr">
        <is>
          <t>1984</t>
        </is>
      </c>
      <c r="Q542" t="inlineStr">
        <is>
          <t>eng</t>
        </is>
      </c>
      <c r="R542" t="inlineStr">
        <is>
          <t>nyu</t>
        </is>
      </c>
      <c r="S542" t="inlineStr">
        <is>
          <t>Studies in health and human services ; vol. 2</t>
        </is>
      </c>
      <c r="T542" t="inlineStr">
        <is>
          <t xml:space="preserve">W  </t>
        </is>
      </c>
      <c r="U542" t="n">
        <v>12</v>
      </c>
      <c r="V542" t="n">
        <v>12</v>
      </c>
      <c r="W542" t="inlineStr">
        <is>
          <t>2000-10-06</t>
        </is>
      </c>
      <c r="X542" t="inlineStr">
        <is>
          <t>2000-10-06</t>
        </is>
      </c>
      <c r="Y542" t="inlineStr">
        <is>
          <t>1987-10-02</t>
        </is>
      </c>
      <c r="Z542" t="inlineStr">
        <is>
          <t>1987-10-02</t>
        </is>
      </c>
      <c r="AA542" t="n">
        <v>152</v>
      </c>
      <c r="AB542" t="n">
        <v>121</v>
      </c>
      <c r="AC542" t="n">
        <v>123</v>
      </c>
      <c r="AD542" t="n">
        <v>1</v>
      </c>
      <c r="AE542" t="n">
        <v>1</v>
      </c>
      <c r="AF542" t="n">
        <v>6</v>
      </c>
      <c r="AG542" t="n">
        <v>6</v>
      </c>
      <c r="AH542" t="n">
        <v>1</v>
      </c>
      <c r="AI542" t="n">
        <v>1</v>
      </c>
      <c r="AJ542" t="n">
        <v>1</v>
      </c>
      <c r="AK542" t="n">
        <v>1</v>
      </c>
      <c r="AL542" t="n">
        <v>4</v>
      </c>
      <c r="AM542" t="n">
        <v>4</v>
      </c>
      <c r="AN542" t="n">
        <v>0</v>
      </c>
      <c r="AO542" t="n">
        <v>0</v>
      </c>
      <c r="AP542" t="n">
        <v>1</v>
      </c>
      <c r="AQ542" t="n">
        <v>1</v>
      </c>
      <c r="AR542" t="inlineStr">
        <is>
          <t>No</t>
        </is>
      </c>
      <c r="AS542" t="inlineStr">
        <is>
          <t>Yes</t>
        </is>
      </c>
      <c r="AT542">
        <f>HYPERLINK("http://catalog.hathitrust.org/Record/007991573","HathiTrust Record")</f>
        <v/>
      </c>
      <c r="AU542">
        <f>HYPERLINK("https://creighton-primo.hosted.exlibrisgroup.com/primo-explore/search?tab=default_tab&amp;search_scope=EVERYTHING&amp;vid=01CRU&amp;lang=en_US&amp;offset=0&amp;query=any,contains,991001459119702656","Catalog Record")</f>
        <v/>
      </c>
      <c r="AV542">
        <f>HYPERLINK("http://www.worldcat.org/oclc/11316674","WorldCat Record")</f>
        <v/>
      </c>
      <c r="AW542" t="inlineStr">
        <is>
          <t>3854440:eng</t>
        </is>
      </c>
      <c r="AX542" t="inlineStr">
        <is>
          <t>11316674</t>
        </is>
      </c>
      <c r="AY542" t="inlineStr">
        <is>
          <t>991001459119702656</t>
        </is>
      </c>
      <c r="AZ542" t="inlineStr">
        <is>
          <t>991001459119702656</t>
        </is>
      </c>
      <c r="BA542" t="inlineStr">
        <is>
          <t>2256714670002656</t>
        </is>
      </c>
      <c r="BB542" t="inlineStr">
        <is>
          <t>BOOK</t>
        </is>
      </c>
      <c r="BD542" t="inlineStr">
        <is>
          <t>9780889461277</t>
        </is>
      </c>
      <c r="BE542" t="inlineStr">
        <is>
          <t>30001000555393</t>
        </is>
      </c>
      <c r="BF542" t="inlineStr">
        <is>
          <t>893643609</t>
        </is>
      </c>
    </row>
    <row r="543">
      <c r="A543" t="inlineStr">
        <is>
          <t>No</t>
        </is>
      </c>
      <c r="B543" t="inlineStr">
        <is>
          <t>CUHSL</t>
        </is>
      </c>
      <c r="C543" t="inlineStr">
        <is>
          <t>SHELVES</t>
        </is>
      </c>
      <c r="D543" t="inlineStr">
        <is>
          <t>W 50 S546m 1991</t>
        </is>
      </c>
      <c r="E543" t="inlineStr">
        <is>
          <t>0                      W  0050000S  546m        1991</t>
        </is>
      </c>
      <c r="F543" t="inlineStr">
        <is>
          <t>Medical ethics : evolution, rights and the physician / Henry A. Shenkin.</t>
        </is>
      </c>
      <c r="H543" t="inlineStr">
        <is>
          <t>No</t>
        </is>
      </c>
      <c r="I543" t="inlineStr">
        <is>
          <t>1</t>
        </is>
      </c>
      <c r="J543" t="inlineStr">
        <is>
          <t>No</t>
        </is>
      </c>
      <c r="K543" t="inlineStr">
        <is>
          <t>No</t>
        </is>
      </c>
      <c r="L543" t="inlineStr">
        <is>
          <t>0</t>
        </is>
      </c>
      <c r="M543" t="inlineStr">
        <is>
          <t>Shenkin, Henry A., 1915-</t>
        </is>
      </c>
      <c r="N543" t="inlineStr">
        <is>
          <t>Dordrecht ; Boston : Kluwer Academic Publishers, c1991.</t>
        </is>
      </c>
      <c r="O543" t="inlineStr">
        <is>
          <t>1991</t>
        </is>
      </c>
      <c r="Q543" t="inlineStr">
        <is>
          <t>eng</t>
        </is>
      </c>
      <c r="R543" t="inlineStr">
        <is>
          <t xml:space="preserve">ne </t>
        </is>
      </c>
      <c r="S543" t="inlineStr">
        <is>
          <t>Episteme ; v. 17.</t>
        </is>
      </c>
      <c r="T543" t="inlineStr">
        <is>
          <t xml:space="preserve">W  </t>
        </is>
      </c>
      <c r="U543" t="n">
        <v>8</v>
      </c>
      <c r="V543" t="n">
        <v>8</v>
      </c>
      <c r="W543" t="inlineStr">
        <is>
          <t>1995-06-23</t>
        </is>
      </c>
      <c r="X543" t="inlineStr">
        <is>
          <t>1995-06-23</t>
        </is>
      </c>
      <c r="Y543" t="inlineStr">
        <is>
          <t>1991-10-07</t>
        </is>
      </c>
      <c r="Z543" t="inlineStr">
        <is>
          <t>1991-10-07</t>
        </is>
      </c>
      <c r="AA543" t="n">
        <v>130</v>
      </c>
      <c r="AB543" t="n">
        <v>76</v>
      </c>
      <c r="AC543" t="n">
        <v>86</v>
      </c>
      <c r="AD543" t="n">
        <v>1</v>
      </c>
      <c r="AE543" t="n">
        <v>1</v>
      </c>
      <c r="AF543" t="n">
        <v>3</v>
      </c>
      <c r="AG543" t="n">
        <v>4</v>
      </c>
      <c r="AH543" t="n">
        <v>1</v>
      </c>
      <c r="AI543" t="n">
        <v>2</v>
      </c>
      <c r="AJ543" t="n">
        <v>2</v>
      </c>
      <c r="AK543" t="n">
        <v>2</v>
      </c>
      <c r="AL543" t="n">
        <v>3</v>
      </c>
      <c r="AM543" t="n">
        <v>4</v>
      </c>
      <c r="AN543" t="n">
        <v>0</v>
      </c>
      <c r="AO543" t="n">
        <v>0</v>
      </c>
      <c r="AP543" t="n">
        <v>0</v>
      </c>
      <c r="AQ543" t="n">
        <v>0</v>
      </c>
      <c r="AR543" t="inlineStr">
        <is>
          <t>No</t>
        </is>
      </c>
      <c r="AS543" t="inlineStr">
        <is>
          <t>Yes</t>
        </is>
      </c>
      <c r="AT543">
        <f>HYPERLINK("http://catalog.hathitrust.org/Record/002372330","HathiTrust Record")</f>
        <v/>
      </c>
      <c r="AU543">
        <f>HYPERLINK("https://creighton-primo.hosted.exlibrisgroup.com/primo-explore/search?tab=default_tab&amp;search_scope=EVERYTHING&amp;vid=01CRU&amp;lang=en_US&amp;offset=0&amp;query=any,contains,991001018149702656","Catalog Record")</f>
        <v/>
      </c>
      <c r="AV543">
        <f>HYPERLINK("http://www.worldcat.org/oclc/22543311","WorldCat Record")</f>
        <v/>
      </c>
      <c r="AW543" t="inlineStr">
        <is>
          <t>197507526:eng</t>
        </is>
      </c>
      <c r="AX543" t="inlineStr">
        <is>
          <t>22543311</t>
        </is>
      </c>
      <c r="AY543" t="inlineStr">
        <is>
          <t>991001018149702656</t>
        </is>
      </c>
      <c r="AZ543" t="inlineStr">
        <is>
          <t>991001018149702656</t>
        </is>
      </c>
      <c r="BA543" t="inlineStr">
        <is>
          <t>2267515430002656</t>
        </is>
      </c>
      <c r="BB543" t="inlineStr">
        <is>
          <t>BOOK</t>
        </is>
      </c>
      <c r="BD543" t="inlineStr">
        <is>
          <t>9780792310310</t>
        </is>
      </c>
      <c r="BE543" t="inlineStr">
        <is>
          <t>30001002241083</t>
        </is>
      </c>
      <c r="BF543" t="inlineStr">
        <is>
          <t>893546308</t>
        </is>
      </c>
    </row>
    <row r="544">
      <c r="A544" t="inlineStr">
        <is>
          <t>No</t>
        </is>
      </c>
      <c r="B544" t="inlineStr">
        <is>
          <t>CUHSL</t>
        </is>
      </c>
      <c r="C544" t="inlineStr">
        <is>
          <t>SHELVES</t>
        </is>
      </c>
      <c r="D544" t="inlineStr">
        <is>
          <t>W 50 S554n 1992</t>
        </is>
      </c>
      <c r="E544" t="inlineStr">
        <is>
          <t>0                      W  0050000S  554n        1992</t>
        </is>
      </c>
      <c r="F544" t="inlineStr">
        <is>
          <t>No longer patient : feminist ethics and health care / Susan Sherwin.</t>
        </is>
      </c>
      <c r="H544" t="inlineStr">
        <is>
          <t>No</t>
        </is>
      </c>
      <c r="I544" t="inlineStr">
        <is>
          <t>1</t>
        </is>
      </c>
      <c r="J544" t="inlineStr">
        <is>
          <t>Yes</t>
        </is>
      </c>
      <c r="K544" t="inlineStr">
        <is>
          <t>No</t>
        </is>
      </c>
      <c r="L544" t="inlineStr">
        <is>
          <t>0</t>
        </is>
      </c>
      <c r="M544" t="inlineStr">
        <is>
          <t>Sherwin, Susan, 1947-</t>
        </is>
      </c>
      <c r="N544" t="inlineStr">
        <is>
          <t>Philadelphia : Temple University Press, c1992.</t>
        </is>
      </c>
      <c r="O544" t="inlineStr">
        <is>
          <t>1992</t>
        </is>
      </c>
      <c r="Q544" t="inlineStr">
        <is>
          <t>eng</t>
        </is>
      </c>
      <c r="R544" t="inlineStr">
        <is>
          <t>pau</t>
        </is>
      </c>
      <c r="T544" t="inlineStr">
        <is>
          <t xml:space="preserve">W  </t>
        </is>
      </c>
      <c r="U544" t="n">
        <v>14</v>
      </c>
      <c r="V544" t="n">
        <v>15</v>
      </c>
      <c r="W544" t="inlineStr">
        <is>
          <t>2003-04-03</t>
        </is>
      </c>
      <c r="X544" t="inlineStr">
        <is>
          <t>2003-10-02</t>
        </is>
      </c>
      <c r="Y544" t="inlineStr">
        <is>
          <t>1992-01-31</t>
        </is>
      </c>
      <c r="Z544" t="inlineStr">
        <is>
          <t>2003-10-02</t>
        </is>
      </c>
      <c r="AA544" t="n">
        <v>796</v>
      </c>
      <c r="AB544" t="n">
        <v>660</v>
      </c>
      <c r="AC544" t="n">
        <v>664</v>
      </c>
      <c r="AD544" t="n">
        <v>5</v>
      </c>
      <c r="AE544" t="n">
        <v>5</v>
      </c>
      <c r="AF544" t="n">
        <v>47</v>
      </c>
      <c r="AG544" t="n">
        <v>47</v>
      </c>
      <c r="AH544" t="n">
        <v>18</v>
      </c>
      <c r="AI544" t="n">
        <v>18</v>
      </c>
      <c r="AJ544" t="n">
        <v>9</v>
      </c>
      <c r="AK544" t="n">
        <v>9</v>
      </c>
      <c r="AL544" t="n">
        <v>20</v>
      </c>
      <c r="AM544" t="n">
        <v>20</v>
      </c>
      <c r="AN544" t="n">
        <v>3</v>
      </c>
      <c r="AO544" t="n">
        <v>3</v>
      </c>
      <c r="AP544" t="n">
        <v>8</v>
      </c>
      <c r="AQ544" t="n">
        <v>8</v>
      </c>
      <c r="AR544" t="inlineStr">
        <is>
          <t>No</t>
        </is>
      </c>
      <c r="AS544" t="inlineStr">
        <is>
          <t>No</t>
        </is>
      </c>
      <c r="AU544">
        <f>HYPERLINK("https://creighton-primo.hosted.exlibrisgroup.com/primo-explore/search?tab=default_tab&amp;search_scope=EVERYTHING&amp;vid=01CRU&amp;lang=en_US&amp;offset=0&amp;query=any,contains,991001780709702656","Catalog Record")</f>
        <v/>
      </c>
      <c r="AV544">
        <f>HYPERLINK("http://www.worldcat.org/oclc/23654449","WorldCat Record")</f>
        <v/>
      </c>
      <c r="AW544" t="inlineStr">
        <is>
          <t>222816175:eng</t>
        </is>
      </c>
      <c r="AX544" t="inlineStr">
        <is>
          <t>23654449</t>
        </is>
      </c>
      <c r="AY544" t="inlineStr">
        <is>
          <t>991001780709702656</t>
        </is>
      </c>
      <c r="AZ544" t="inlineStr">
        <is>
          <t>991001780709702656</t>
        </is>
      </c>
      <c r="BA544" t="inlineStr">
        <is>
          <t>2264709860002656</t>
        </is>
      </c>
      <c r="BB544" t="inlineStr">
        <is>
          <t>BOOK</t>
        </is>
      </c>
      <c r="BD544" t="inlineStr">
        <is>
          <t>9780877228899</t>
        </is>
      </c>
      <c r="BE544" t="inlineStr">
        <is>
          <t>30001002243857</t>
        </is>
      </c>
      <c r="BF544" t="inlineStr">
        <is>
          <t>893832595</t>
        </is>
      </c>
    </row>
    <row r="545">
      <c r="A545" t="inlineStr">
        <is>
          <t>No</t>
        </is>
      </c>
      <c r="B545" t="inlineStr">
        <is>
          <t>CUHSL</t>
        </is>
      </c>
      <c r="C545" t="inlineStr">
        <is>
          <t>SHELVES</t>
        </is>
      </c>
      <c r="D545" t="inlineStr">
        <is>
          <t>W 50 S559t 1984</t>
        </is>
      </c>
      <c r="E545" t="inlineStr">
        <is>
          <t>0                      W  0050000S  559t        1984</t>
        </is>
      </c>
      <c r="F545" t="inlineStr">
        <is>
          <t>To treat or not to treat : a working document for making critical life decisions / J. Stuart Showalter, Brian L. Andrew.</t>
        </is>
      </c>
      <c r="H545" t="inlineStr">
        <is>
          <t>No</t>
        </is>
      </c>
      <c r="I545" t="inlineStr">
        <is>
          <t>1</t>
        </is>
      </c>
      <c r="J545" t="inlineStr">
        <is>
          <t>No</t>
        </is>
      </c>
      <c r="K545" t="inlineStr">
        <is>
          <t>No</t>
        </is>
      </c>
      <c r="L545" t="inlineStr">
        <is>
          <t>0</t>
        </is>
      </c>
      <c r="M545" t="inlineStr">
        <is>
          <t>Showalter, J. Stuart.</t>
        </is>
      </c>
      <c r="N545" t="inlineStr">
        <is>
          <t>St. Louis, MO : Catholic Health Association of the United States, c1984.</t>
        </is>
      </c>
      <c r="O545" t="inlineStr">
        <is>
          <t>1984</t>
        </is>
      </c>
      <c r="Q545" t="inlineStr">
        <is>
          <t>eng</t>
        </is>
      </c>
      <c r="R545" t="inlineStr">
        <is>
          <t>mou</t>
        </is>
      </c>
      <c r="T545" t="inlineStr">
        <is>
          <t xml:space="preserve">W  </t>
        </is>
      </c>
      <c r="U545" t="n">
        <v>5</v>
      </c>
      <c r="V545" t="n">
        <v>5</v>
      </c>
      <c r="W545" t="inlineStr">
        <is>
          <t>1991-12-03</t>
        </is>
      </c>
      <c r="X545" t="inlineStr">
        <is>
          <t>1991-12-03</t>
        </is>
      </c>
      <c r="Y545" t="inlineStr">
        <is>
          <t>1989-04-05</t>
        </is>
      </c>
      <c r="Z545" t="inlineStr">
        <is>
          <t>1989-04-05</t>
        </is>
      </c>
      <c r="AA545" t="n">
        <v>141</v>
      </c>
      <c r="AB545" t="n">
        <v>132</v>
      </c>
      <c r="AC545" t="n">
        <v>134</v>
      </c>
      <c r="AD545" t="n">
        <v>1</v>
      </c>
      <c r="AE545" t="n">
        <v>1</v>
      </c>
      <c r="AF545" t="n">
        <v>12</v>
      </c>
      <c r="AG545" t="n">
        <v>12</v>
      </c>
      <c r="AH545" t="n">
        <v>4</v>
      </c>
      <c r="AI545" t="n">
        <v>4</v>
      </c>
      <c r="AJ545" t="n">
        <v>1</v>
      </c>
      <c r="AK545" t="n">
        <v>1</v>
      </c>
      <c r="AL545" t="n">
        <v>8</v>
      </c>
      <c r="AM545" t="n">
        <v>8</v>
      </c>
      <c r="AN545" t="n">
        <v>0</v>
      </c>
      <c r="AO545" t="n">
        <v>0</v>
      </c>
      <c r="AP545" t="n">
        <v>4</v>
      </c>
      <c r="AQ545" t="n">
        <v>4</v>
      </c>
      <c r="AR545" t="inlineStr">
        <is>
          <t>No</t>
        </is>
      </c>
      <c r="AS545" t="inlineStr">
        <is>
          <t>Yes</t>
        </is>
      </c>
      <c r="AT545">
        <f>HYPERLINK("http://catalog.hathitrust.org/Record/000331232","HathiTrust Record")</f>
        <v/>
      </c>
      <c r="AU545">
        <f>HYPERLINK("https://creighton-primo.hosted.exlibrisgroup.com/primo-explore/search?tab=default_tab&amp;search_scope=EVERYTHING&amp;vid=01CRU&amp;lang=en_US&amp;offset=0&amp;query=any,contains,991000882209702656","Catalog Record")</f>
        <v/>
      </c>
      <c r="AV545">
        <f>HYPERLINK("http://www.worldcat.org/oclc/10163060","WorldCat Record")</f>
        <v/>
      </c>
      <c r="AW545" t="inlineStr">
        <is>
          <t>3068490:eng</t>
        </is>
      </c>
      <c r="AX545" t="inlineStr">
        <is>
          <t>10163060</t>
        </is>
      </c>
      <c r="AY545" t="inlineStr">
        <is>
          <t>991000882209702656</t>
        </is>
      </c>
      <c r="AZ545" t="inlineStr">
        <is>
          <t>991000882209702656</t>
        </is>
      </c>
      <c r="BA545" t="inlineStr">
        <is>
          <t>2268710450002656</t>
        </is>
      </c>
      <c r="BB545" t="inlineStr">
        <is>
          <t>BOOK</t>
        </is>
      </c>
      <c r="BD545" t="inlineStr">
        <is>
          <t>9780871250940</t>
        </is>
      </c>
      <c r="BE545" t="inlineStr">
        <is>
          <t>30001001489279</t>
        </is>
      </c>
      <c r="BF545" t="inlineStr">
        <is>
          <t>893161423</t>
        </is>
      </c>
    </row>
    <row r="546">
      <c r="A546" t="inlineStr">
        <is>
          <t>No</t>
        </is>
      </c>
      <c r="B546" t="inlineStr">
        <is>
          <t>CUHSL</t>
        </is>
      </c>
      <c r="C546" t="inlineStr">
        <is>
          <t>SHELVES</t>
        </is>
      </c>
      <c r="D546" t="inlineStr">
        <is>
          <t>W 50 S616t 1989</t>
        </is>
      </c>
      <c r="E546" t="inlineStr">
        <is>
          <t>0                      W  0050000S  616t        1989</t>
        </is>
      </c>
      <c r="F546" t="inlineStr">
        <is>
          <t>Tradition and the biological revolution : the application of Jewish law to the treatment of the critically ill / Daniel B. Sinclair.</t>
        </is>
      </c>
      <c r="H546" t="inlineStr">
        <is>
          <t>No</t>
        </is>
      </c>
      <c r="I546" t="inlineStr">
        <is>
          <t>1</t>
        </is>
      </c>
      <c r="J546" t="inlineStr">
        <is>
          <t>No</t>
        </is>
      </c>
      <c r="K546" t="inlineStr">
        <is>
          <t>No</t>
        </is>
      </c>
      <c r="L546" t="inlineStr">
        <is>
          <t>0</t>
        </is>
      </c>
      <c r="M546" t="inlineStr">
        <is>
          <t>Sinclair, Daniel B.</t>
        </is>
      </c>
      <c r="N546" t="inlineStr">
        <is>
          <t>Edinburgh : Edinburgh University Press, c1989.</t>
        </is>
      </c>
      <c r="O546" t="inlineStr">
        <is>
          <t>1989</t>
        </is>
      </c>
      <c r="Q546" t="inlineStr">
        <is>
          <t>eng</t>
        </is>
      </c>
      <c r="R546" t="inlineStr">
        <is>
          <t>stk</t>
        </is>
      </c>
      <c r="T546" t="inlineStr">
        <is>
          <t xml:space="preserve">W  </t>
        </is>
      </c>
      <c r="U546" t="n">
        <v>3</v>
      </c>
      <c r="V546" t="n">
        <v>3</v>
      </c>
      <c r="W546" t="inlineStr">
        <is>
          <t>1992-04-29</t>
        </is>
      </c>
      <c r="X546" t="inlineStr">
        <is>
          <t>1992-04-29</t>
        </is>
      </c>
      <c r="Y546" t="inlineStr">
        <is>
          <t>1992-02-20</t>
        </is>
      </c>
      <c r="Z546" t="inlineStr">
        <is>
          <t>1992-02-20</t>
        </is>
      </c>
      <c r="AA546" t="n">
        <v>244</v>
      </c>
      <c r="AB546" t="n">
        <v>192</v>
      </c>
      <c r="AC546" t="n">
        <v>192</v>
      </c>
      <c r="AD546" t="n">
        <v>1</v>
      </c>
      <c r="AE546" t="n">
        <v>1</v>
      </c>
      <c r="AF546" t="n">
        <v>13</v>
      </c>
      <c r="AG546" t="n">
        <v>13</v>
      </c>
      <c r="AH546" t="n">
        <v>3</v>
      </c>
      <c r="AI546" t="n">
        <v>3</v>
      </c>
      <c r="AJ546" t="n">
        <v>1</v>
      </c>
      <c r="AK546" t="n">
        <v>1</v>
      </c>
      <c r="AL546" t="n">
        <v>5</v>
      </c>
      <c r="AM546" t="n">
        <v>5</v>
      </c>
      <c r="AN546" t="n">
        <v>0</v>
      </c>
      <c r="AO546" t="n">
        <v>0</v>
      </c>
      <c r="AP546" t="n">
        <v>8</v>
      </c>
      <c r="AQ546" t="n">
        <v>8</v>
      </c>
      <c r="AR546" t="inlineStr">
        <is>
          <t>No</t>
        </is>
      </c>
      <c r="AS546" t="inlineStr">
        <is>
          <t>No</t>
        </is>
      </c>
      <c r="AU546">
        <f>HYPERLINK("https://creighton-primo.hosted.exlibrisgroup.com/primo-explore/search?tab=default_tab&amp;search_scope=EVERYTHING&amp;vid=01CRU&amp;lang=en_US&amp;offset=0&amp;query=any,contains,991001033029702656","Catalog Record")</f>
        <v/>
      </c>
      <c r="AV546">
        <f>HYPERLINK("http://www.worldcat.org/oclc/32092575","WorldCat Record")</f>
        <v/>
      </c>
      <c r="AW546" t="inlineStr">
        <is>
          <t>364748242:eng</t>
        </is>
      </c>
      <c r="AX546" t="inlineStr">
        <is>
          <t>32092575</t>
        </is>
      </c>
      <c r="AY546" t="inlineStr">
        <is>
          <t>991001033029702656</t>
        </is>
      </c>
      <c r="AZ546" t="inlineStr">
        <is>
          <t>991001033029702656</t>
        </is>
      </c>
      <c r="BA546" t="inlineStr">
        <is>
          <t>2264717390002656</t>
        </is>
      </c>
      <c r="BB546" t="inlineStr">
        <is>
          <t>BOOK</t>
        </is>
      </c>
      <c r="BD546" t="inlineStr">
        <is>
          <t>9780852246368</t>
        </is>
      </c>
      <c r="BE546" t="inlineStr">
        <is>
          <t>30001002244186</t>
        </is>
      </c>
      <c r="BF546" t="inlineStr">
        <is>
          <t>893546321</t>
        </is>
      </c>
    </row>
    <row r="547">
      <c r="A547" t="inlineStr">
        <is>
          <t>No</t>
        </is>
      </c>
      <c r="B547" t="inlineStr">
        <is>
          <t>CUHSL</t>
        </is>
      </c>
      <c r="C547" t="inlineStr">
        <is>
          <t>SHELVES</t>
        </is>
      </c>
      <c r="D547" t="inlineStr">
        <is>
          <t>W 50 S649e 1970</t>
        </is>
      </c>
      <c r="E547" t="inlineStr">
        <is>
          <t>0                      W  0050000S  649e        1970</t>
        </is>
      </c>
      <c r="F547" t="inlineStr">
        <is>
          <t>Ethics and the new medicine / Harmon L. Smith.</t>
        </is>
      </c>
      <c r="H547" t="inlineStr">
        <is>
          <t>No</t>
        </is>
      </c>
      <c r="I547" t="inlineStr">
        <is>
          <t>1</t>
        </is>
      </c>
      <c r="J547" t="inlineStr">
        <is>
          <t>No</t>
        </is>
      </c>
      <c r="K547" t="inlineStr">
        <is>
          <t>No</t>
        </is>
      </c>
      <c r="L547" t="inlineStr">
        <is>
          <t>0</t>
        </is>
      </c>
      <c r="M547" t="inlineStr">
        <is>
          <t>Smith, Harmon L.</t>
        </is>
      </c>
      <c r="N547" t="inlineStr">
        <is>
          <t>Nashville : Abingdon Press, [1970]</t>
        </is>
      </c>
      <c r="O547" t="inlineStr">
        <is>
          <t>1970</t>
        </is>
      </c>
      <c r="Q547" t="inlineStr">
        <is>
          <t>eng</t>
        </is>
      </c>
      <c r="R547" t="inlineStr">
        <is>
          <t>tnu</t>
        </is>
      </c>
      <c r="T547" t="inlineStr">
        <is>
          <t xml:space="preserve">W  </t>
        </is>
      </c>
      <c r="U547" t="n">
        <v>14</v>
      </c>
      <c r="V547" t="n">
        <v>14</v>
      </c>
      <c r="W547" t="inlineStr">
        <is>
          <t>2004-10-06</t>
        </is>
      </c>
      <c r="X547" t="inlineStr">
        <is>
          <t>2004-10-06</t>
        </is>
      </c>
      <c r="Y547" t="inlineStr">
        <is>
          <t>1987-10-08</t>
        </is>
      </c>
      <c r="Z547" t="inlineStr">
        <is>
          <t>1987-10-08</t>
        </is>
      </c>
      <c r="AA547" t="n">
        <v>696</v>
      </c>
      <c r="AB547" t="n">
        <v>616</v>
      </c>
      <c r="AC547" t="n">
        <v>622</v>
      </c>
      <c r="AD547" t="n">
        <v>5</v>
      </c>
      <c r="AE547" t="n">
        <v>5</v>
      </c>
      <c r="AF547" t="n">
        <v>29</v>
      </c>
      <c r="AG547" t="n">
        <v>30</v>
      </c>
      <c r="AH547" t="n">
        <v>8</v>
      </c>
      <c r="AI547" t="n">
        <v>9</v>
      </c>
      <c r="AJ547" t="n">
        <v>5</v>
      </c>
      <c r="AK547" t="n">
        <v>5</v>
      </c>
      <c r="AL547" t="n">
        <v>17</v>
      </c>
      <c r="AM547" t="n">
        <v>18</v>
      </c>
      <c r="AN547" t="n">
        <v>2</v>
      </c>
      <c r="AO547" t="n">
        <v>2</v>
      </c>
      <c r="AP547" t="n">
        <v>4</v>
      </c>
      <c r="AQ547" t="n">
        <v>4</v>
      </c>
      <c r="AR547" t="inlineStr">
        <is>
          <t>No</t>
        </is>
      </c>
      <c r="AS547" t="inlineStr">
        <is>
          <t>Yes</t>
        </is>
      </c>
      <c r="AT547">
        <f>HYPERLINK("http://catalog.hathitrust.org/Record/001557843","HathiTrust Record")</f>
        <v/>
      </c>
      <c r="AU547">
        <f>HYPERLINK("https://creighton-primo.hosted.exlibrisgroup.com/primo-explore/search?tab=default_tab&amp;search_scope=EVERYTHING&amp;vid=01CRU&amp;lang=en_US&amp;offset=0&amp;query=any,contains,991001526359702656","Catalog Record")</f>
        <v/>
      </c>
      <c r="AV547">
        <f>HYPERLINK("http://www.worldcat.org/oclc/98084","WorldCat Record")</f>
        <v/>
      </c>
      <c r="AW547" t="inlineStr">
        <is>
          <t>1327809:eng</t>
        </is>
      </c>
      <c r="AX547" t="inlineStr">
        <is>
          <t>98084</t>
        </is>
      </c>
      <c r="AY547" t="inlineStr">
        <is>
          <t>991001526359702656</t>
        </is>
      </c>
      <c r="AZ547" t="inlineStr">
        <is>
          <t>991001526359702656</t>
        </is>
      </c>
      <c r="BA547" t="inlineStr">
        <is>
          <t>2272158650002656</t>
        </is>
      </c>
      <c r="BB547" t="inlineStr">
        <is>
          <t>BOOK</t>
        </is>
      </c>
      <c r="BD547" t="inlineStr">
        <is>
          <t>9780687120130</t>
        </is>
      </c>
      <c r="BE547" t="inlineStr">
        <is>
          <t>30001000614679</t>
        </is>
      </c>
      <c r="BF547" t="inlineStr">
        <is>
          <t>893364225</t>
        </is>
      </c>
    </row>
    <row r="548">
      <c r="A548" t="inlineStr">
        <is>
          <t>No</t>
        </is>
      </c>
      <c r="B548" t="inlineStr">
        <is>
          <t>CUHSL</t>
        </is>
      </c>
      <c r="C548" t="inlineStr">
        <is>
          <t>SHELVES</t>
        </is>
      </c>
      <c r="D548" t="inlineStr">
        <is>
          <t>W 50 S697d 1986</t>
        </is>
      </c>
      <c r="E548" t="inlineStr">
        <is>
          <t>0                      W  0050000S  697d        1986</t>
        </is>
      </c>
      <c r="F548" t="inlineStr">
        <is>
          <t>Death and dying : staying in control to the end of our lives.</t>
        </is>
      </c>
      <c r="H548" t="inlineStr">
        <is>
          <t>No</t>
        </is>
      </c>
      <c r="I548" t="inlineStr">
        <is>
          <t>1</t>
        </is>
      </c>
      <c r="J548" t="inlineStr">
        <is>
          <t>No</t>
        </is>
      </c>
      <c r="K548" t="inlineStr">
        <is>
          <t>No</t>
        </is>
      </c>
      <c r="L548" t="inlineStr">
        <is>
          <t>0</t>
        </is>
      </c>
      <c r="M548" t="inlineStr">
        <is>
          <t>Sommers, Tish.</t>
        </is>
      </c>
      <c r="N548" t="inlineStr">
        <is>
          <t>Washington, D.C. : Older Women's League, [1986]</t>
        </is>
      </c>
      <c r="O548" t="inlineStr">
        <is>
          <t>1986</t>
        </is>
      </c>
      <c r="Q548" t="inlineStr">
        <is>
          <t>eng</t>
        </is>
      </c>
      <c r="R548" t="inlineStr">
        <is>
          <t>dcu</t>
        </is>
      </c>
      <c r="S548" t="inlineStr">
        <is>
          <t>Gray paper</t>
        </is>
      </c>
      <c r="T548" t="inlineStr">
        <is>
          <t xml:space="preserve">W  </t>
        </is>
      </c>
      <c r="U548" t="n">
        <v>6</v>
      </c>
      <c r="V548" t="n">
        <v>6</v>
      </c>
      <c r="W548" t="inlineStr">
        <is>
          <t>2001-02-06</t>
        </is>
      </c>
      <c r="X548" t="inlineStr">
        <is>
          <t>2001-02-06</t>
        </is>
      </c>
      <c r="Y548" t="inlineStr">
        <is>
          <t>1990-09-24</t>
        </is>
      </c>
      <c r="Z548" t="inlineStr">
        <is>
          <t>1990-09-24</t>
        </is>
      </c>
      <c r="AA548" t="n">
        <v>7</v>
      </c>
      <c r="AB548" t="n">
        <v>7</v>
      </c>
      <c r="AC548" t="n">
        <v>9</v>
      </c>
      <c r="AD548" t="n">
        <v>1</v>
      </c>
      <c r="AE548" t="n">
        <v>1</v>
      </c>
      <c r="AF548" t="n">
        <v>0</v>
      </c>
      <c r="AG548" t="n">
        <v>0</v>
      </c>
      <c r="AH548" t="n">
        <v>0</v>
      </c>
      <c r="AI548" t="n">
        <v>0</v>
      </c>
      <c r="AJ548" t="n">
        <v>0</v>
      </c>
      <c r="AK548" t="n">
        <v>0</v>
      </c>
      <c r="AL548" t="n">
        <v>0</v>
      </c>
      <c r="AM548" t="n">
        <v>0</v>
      </c>
      <c r="AN548" t="n">
        <v>0</v>
      </c>
      <c r="AO548" t="n">
        <v>0</v>
      </c>
      <c r="AP548" t="n">
        <v>0</v>
      </c>
      <c r="AQ548" t="n">
        <v>0</v>
      </c>
      <c r="AR548" t="inlineStr">
        <is>
          <t>No</t>
        </is>
      </c>
      <c r="AS548" t="inlineStr">
        <is>
          <t>No</t>
        </is>
      </c>
      <c r="AU548">
        <f>HYPERLINK("https://creighton-primo.hosted.exlibrisgroup.com/primo-explore/search?tab=default_tab&amp;search_scope=EVERYTHING&amp;vid=01CRU&amp;lang=en_US&amp;offset=0&amp;query=any,contains,991001454659702656","Catalog Record")</f>
        <v/>
      </c>
      <c r="AV548">
        <f>HYPERLINK("http://www.worldcat.org/oclc/15134564","WorldCat Record")</f>
        <v/>
      </c>
      <c r="AW548" t="inlineStr">
        <is>
          <t>5550033153:eng</t>
        </is>
      </c>
      <c r="AX548" t="inlineStr">
        <is>
          <t>15134564</t>
        </is>
      </c>
      <c r="AY548" t="inlineStr">
        <is>
          <t>991001454659702656</t>
        </is>
      </c>
      <c r="AZ548" t="inlineStr">
        <is>
          <t>991001454659702656</t>
        </is>
      </c>
      <c r="BA548" t="inlineStr">
        <is>
          <t>2263999740002656</t>
        </is>
      </c>
      <c r="BB548" t="inlineStr">
        <is>
          <t>BOOK</t>
        </is>
      </c>
      <c r="BE548" t="inlineStr">
        <is>
          <t>30001001884578</t>
        </is>
      </c>
      <c r="BF548" t="inlineStr">
        <is>
          <t>893727615</t>
        </is>
      </c>
    </row>
    <row r="549">
      <c r="A549" t="inlineStr">
        <is>
          <t>No</t>
        </is>
      </c>
      <c r="B549" t="inlineStr">
        <is>
          <t>CUHSL</t>
        </is>
      </c>
      <c r="C549" t="inlineStr">
        <is>
          <t>SHELVES</t>
        </is>
      </c>
      <c r="D549" t="inlineStr">
        <is>
          <t>W50 S745o 2000</t>
        </is>
      </c>
      <c r="E549" t="inlineStr">
        <is>
          <t>0                      W  0050000S  745o        2000</t>
        </is>
      </c>
      <c r="F549" t="inlineStr">
        <is>
          <t>Organization ethics in health care / Edward M. Spencer ... [et al.].</t>
        </is>
      </c>
      <c r="H549" t="inlineStr">
        <is>
          <t>No</t>
        </is>
      </c>
      <c r="I549" t="inlineStr">
        <is>
          <t>1</t>
        </is>
      </c>
      <c r="J549" t="inlineStr">
        <is>
          <t>No</t>
        </is>
      </c>
      <c r="K549" t="inlineStr">
        <is>
          <t>No</t>
        </is>
      </c>
      <c r="L549" t="inlineStr">
        <is>
          <t>1</t>
        </is>
      </c>
      <c r="N549" t="inlineStr">
        <is>
          <t>New York : Oxford University Press, 2000.</t>
        </is>
      </c>
      <c r="O549" t="inlineStr">
        <is>
          <t>2000</t>
        </is>
      </c>
      <c r="Q549" t="inlineStr">
        <is>
          <t>eng</t>
        </is>
      </c>
      <c r="R549" t="inlineStr">
        <is>
          <t>nyu</t>
        </is>
      </c>
      <c r="T549" t="inlineStr">
        <is>
          <t xml:space="preserve">W  </t>
        </is>
      </c>
      <c r="U549" t="n">
        <v>5</v>
      </c>
      <c r="V549" t="n">
        <v>5</v>
      </c>
      <c r="W549" t="inlineStr">
        <is>
          <t>2010-06-21</t>
        </is>
      </c>
      <c r="X549" t="inlineStr">
        <is>
          <t>2010-06-21</t>
        </is>
      </c>
      <c r="Y549" t="inlineStr">
        <is>
          <t>2004-08-25</t>
        </is>
      </c>
      <c r="Z549" t="inlineStr">
        <is>
          <t>2004-08-25</t>
        </is>
      </c>
      <c r="AA549" t="n">
        <v>324</v>
      </c>
      <c r="AB549" t="n">
        <v>264</v>
      </c>
      <c r="AC549" t="n">
        <v>1129</v>
      </c>
      <c r="AD549" t="n">
        <v>1</v>
      </c>
      <c r="AE549" t="n">
        <v>14</v>
      </c>
      <c r="AF549" t="n">
        <v>14</v>
      </c>
      <c r="AG549" t="n">
        <v>51</v>
      </c>
      <c r="AH549" t="n">
        <v>4</v>
      </c>
      <c r="AI549" t="n">
        <v>15</v>
      </c>
      <c r="AJ549" t="n">
        <v>3</v>
      </c>
      <c r="AK549" t="n">
        <v>11</v>
      </c>
      <c r="AL549" t="n">
        <v>10</v>
      </c>
      <c r="AM549" t="n">
        <v>19</v>
      </c>
      <c r="AN549" t="n">
        <v>0</v>
      </c>
      <c r="AO549" t="n">
        <v>12</v>
      </c>
      <c r="AP549" t="n">
        <v>2</v>
      </c>
      <c r="AQ549" t="n">
        <v>4</v>
      </c>
      <c r="AR549" t="inlineStr">
        <is>
          <t>No</t>
        </is>
      </c>
      <c r="AS549" t="inlineStr">
        <is>
          <t>No</t>
        </is>
      </c>
      <c r="AU549">
        <f>HYPERLINK("https://creighton-primo.hosted.exlibrisgroup.com/primo-explore/search?tab=default_tab&amp;search_scope=EVERYTHING&amp;vid=01CRU&amp;lang=en_US&amp;offset=0&amp;query=any,contains,991000377849702656","Catalog Record")</f>
        <v/>
      </c>
      <c r="AV549">
        <f>HYPERLINK("http://www.worldcat.org/oclc/41380504","WorldCat Record")</f>
        <v/>
      </c>
      <c r="AW549" t="inlineStr">
        <is>
          <t>866308557:eng</t>
        </is>
      </c>
      <c r="AX549" t="inlineStr">
        <is>
          <t>41380504</t>
        </is>
      </c>
      <c r="AY549" t="inlineStr">
        <is>
          <t>991000377849702656</t>
        </is>
      </c>
      <c r="AZ549" t="inlineStr">
        <is>
          <t>991000377849702656</t>
        </is>
      </c>
      <c r="BA549" t="inlineStr">
        <is>
          <t>2256890710002656</t>
        </is>
      </c>
      <c r="BB549" t="inlineStr">
        <is>
          <t>BOOK</t>
        </is>
      </c>
      <c r="BD549" t="inlineStr">
        <is>
          <t>9780195129809</t>
        </is>
      </c>
      <c r="BE549" t="inlineStr">
        <is>
          <t>30001004922151</t>
        </is>
      </c>
      <c r="BF549" t="inlineStr">
        <is>
          <t>893639136</t>
        </is>
      </c>
    </row>
    <row r="550">
      <c r="A550" t="inlineStr">
        <is>
          <t>No</t>
        </is>
      </c>
      <c r="B550" t="inlineStr">
        <is>
          <t>CUHSL</t>
        </is>
      </c>
      <c r="C550" t="inlineStr">
        <is>
          <t>SHELVES</t>
        </is>
      </c>
      <c r="D550" t="inlineStr">
        <is>
          <t>W 50 S922 1978F</t>
        </is>
      </c>
      <c r="E550" t="inlineStr">
        <is>
          <t>0                      W  0050000S  922         1978F</t>
        </is>
      </c>
      <c r="F550" t="inlineStr">
        <is>
          <t>A theory of informed consent and proxy consent / Carson McCarty Strong.</t>
        </is>
      </c>
      <c r="H550" t="inlineStr">
        <is>
          <t>No</t>
        </is>
      </c>
      <c r="I550" t="inlineStr">
        <is>
          <t>1</t>
        </is>
      </c>
      <c r="J550" t="inlineStr">
        <is>
          <t>No</t>
        </is>
      </c>
      <c r="K550" t="inlineStr">
        <is>
          <t>No</t>
        </is>
      </c>
      <c r="L550" t="inlineStr">
        <is>
          <t>0</t>
        </is>
      </c>
      <c r="M550" t="inlineStr">
        <is>
          <t>Strong, Carson McCarty.</t>
        </is>
      </c>
      <c r="N550" t="inlineStr">
        <is>
          <t>Ann Arbor, MI : University Microfilms International, 1979.</t>
        </is>
      </c>
      <c r="O550" t="inlineStr">
        <is>
          <t>1979</t>
        </is>
      </c>
      <c r="Q550" t="inlineStr">
        <is>
          <t>eng</t>
        </is>
      </c>
      <c r="R550" t="inlineStr">
        <is>
          <t>pau</t>
        </is>
      </c>
      <c r="T550" t="inlineStr">
        <is>
          <t xml:space="preserve">W  </t>
        </is>
      </c>
      <c r="U550" t="n">
        <v>6</v>
      </c>
      <c r="V550" t="n">
        <v>6</v>
      </c>
      <c r="W550" t="inlineStr">
        <is>
          <t>2005-10-18</t>
        </is>
      </c>
      <c r="X550" t="inlineStr">
        <is>
          <t>2005-10-18</t>
        </is>
      </c>
      <c r="Y550" t="inlineStr">
        <is>
          <t>1987-10-02</t>
        </is>
      </c>
      <c r="Z550" t="inlineStr">
        <is>
          <t>1987-10-02</t>
        </is>
      </c>
      <c r="AA550" t="n">
        <v>1</v>
      </c>
      <c r="AB550" t="n">
        <v>1</v>
      </c>
      <c r="AC550" t="n">
        <v>3</v>
      </c>
      <c r="AD550" t="n">
        <v>1</v>
      </c>
      <c r="AE550" t="n">
        <v>1</v>
      </c>
      <c r="AF550" t="n">
        <v>0</v>
      </c>
      <c r="AG550" t="n">
        <v>0</v>
      </c>
      <c r="AH550" t="n">
        <v>0</v>
      </c>
      <c r="AI550" t="n">
        <v>0</v>
      </c>
      <c r="AJ550" t="n">
        <v>0</v>
      </c>
      <c r="AK550" t="n">
        <v>0</v>
      </c>
      <c r="AL550" t="n">
        <v>0</v>
      </c>
      <c r="AM550" t="n">
        <v>0</v>
      </c>
      <c r="AN550" t="n">
        <v>0</v>
      </c>
      <c r="AO550" t="n">
        <v>0</v>
      </c>
      <c r="AP550" t="n">
        <v>0</v>
      </c>
      <c r="AQ550" t="n">
        <v>0</v>
      </c>
      <c r="AR550" t="inlineStr">
        <is>
          <t>No</t>
        </is>
      </c>
      <c r="AS550" t="inlineStr">
        <is>
          <t>No</t>
        </is>
      </c>
      <c r="AU550">
        <f>HYPERLINK("https://creighton-primo.hosted.exlibrisgroup.com/primo-explore/search?tab=default_tab&amp;search_scope=EVERYTHING&amp;vid=01CRU&amp;lang=en_US&amp;offset=0&amp;query=any,contains,991001459399702656","Catalog Record")</f>
        <v/>
      </c>
      <c r="AV550">
        <f>HYPERLINK("http://www.worldcat.org/oclc/5122174","WorldCat Record")</f>
        <v/>
      </c>
      <c r="AW550" t="inlineStr">
        <is>
          <t>16441721:eng</t>
        </is>
      </c>
      <c r="AX550" t="inlineStr">
        <is>
          <t>5122174</t>
        </is>
      </c>
      <c r="AY550" t="inlineStr">
        <is>
          <t>991001459399702656</t>
        </is>
      </c>
      <c r="AZ550" t="inlineStr">
        <is>
          <t>991001459399702656</t>
        </is>
      </c>
      <c r="BA550" t="inlineStr">
        <is>
          <t>2266135090002656</t>
        </is>
      </c>
      <c r="BB550" t="inlineStr">
        <is>
          <t>BOOK</t>
        </is>
      </c>
      <c r="BE550" t="inlineStr">
        <is>
          <t>30001000555419</t>
        </is>
      </c>
      <c r="BF550" t="inlineStr">
        <is>
          <t>893727617</t>
        </is>
      </c>
    </row>
    <row r="551">
      <c r="A551" t="inlineStr">
        <is>
          <t>No</t>
        </is>
      </c>
      <c r="B551" t="inlineStr">
        <is>
          <t>CUHSL</t>
        </is>
      </c>
      <c r="C551" t="inlineStr">
        <is>
          <t>SHELVES</t>
        </is>
      </c>
      <c r="D551" t="inlineStr">
        <is>
          <t>W 50 S949 1950f</t>
        </is>
      </c>
      <c r="E551" t="inlineStr">
        <is>
          <t>0                      W  0050000S  949         1950f</t>
        </is>
      </c>
      <c r="F551" t="inlineStr">
        <is>
          <t>The morality of mercy killing / by Joseph V. Sullivan ; with a foreword by Francis J. Connell.</t>
        </is>
      </c>
      <c r="H551" t="inlineStr">
        <is>
          <t>No</t>
        </is>
      </c>
      <c r="I551" t="inlineStr">
        <is>
          <t>1</t>
        </is>
      </c>
      <c r="J551" t="inlineStr">
        <is>
          <t>No</t>
        </is>
      </c>
      <c r="K551" t="inlineStr">
        <is>
          <t>No</t>
        </is>
      </c>
      <c r="L551" t="inlineStr">
        <is>
          <t>0</t>
        </is>
      </c>
      <c r="M551" t="inlineStr">
        <is>
          <t>Sullivan, Joseph V. (Joseph Vincent), 1919-1982.</t>
        </is>
      </c>
      <c r="N551" t="inlineStr">
        <is>
          <t>Ann Arbor, MI : University Microfilms International, 1979.</t>
        </is>
      </c>
      <c r="O551" t="inlineStr">
        <is>
          <t>1950</t>
        </is>
      </c>
      <c r="Q551" t="inlineStr">
        <is>
          <t>eng</t>
        </is>
      </c>
      <c r="R551" t="inlineStr">
        <is>
          <t>myu</t>
        </is>
      </c>
      <c r="T551" t="inlineStr">
        <is>
          <t xml:space="preserve">W  </t>
        </is>
      </c>
      <c r="U551" t="n">
        <v>11</v>
      </c>
      <c r="V551" t="n">
        <v>11</v>
      </c>
      <c r="W551" t="inlineStr">
        <is>
          <t>1999-06-25</t>
        </is>
      </c>
      <c r="X551" t="inlineStr">
        <is>
          <t>1999-06-25</t>
        </is>
      </c>
      <c r="Y551" t="inlineStr">
        <is>
          <t>1988-05-18</t>
        </is>
      </c>
      <c r="Z551" t="inlineStr">
        <is>
          <t>1988-05-18</t>
        </is>
      </c>
      <c r="AA551" t="n">
        <v>69</v>
      </c>
      <c r="AB551" t="n">
        <v>60</v>
      </c>
      <c r="AC551" t="n">
        <v>70</v>
      </c>
      <c r="AD551" t="n">
        <v>1</v>
      </c>
      <c r="AE551" t="n">
        <v>1</v>
      </c>
      <c r="AF551" t="n">
        <v>8</v>
      </c>
      <c r="AG551" t="n">
        <v>8</v>
      </c>
      <c r="AH551" t="n">
        <v>2</v>
      </c>
      <c r="AI551" t="n">
        <v>2</v>
      </c>
      <c r="AJ551" t="n">
        <v>0</v>
      </c>
      <c r="AK551" t="n">
        <v>0</v>
      </c>
      <c r="AL551" t="n">
        <v>8</v>
      </c>
      <c r="AM551" t="n">
        <v>8</v>
      </c>
      <c r="AN551" t="n">
        <v>0</v>
      </c>
      <c r="AO551" t="n">
        <v>0</v>
      </c>
      <c r="AP551" t="n">
        <v>0</v>
      </c>
      <c r="AQ551" t="n">
        <v>0</v>
      </c>
      <c r="AR551" t="inlineStr">
        <is>
          <t>Yes</t>
        </is>
      </c>
      <c r="AS551" t="inlineStr">
        <is>
          <t>No</t>
        </is>
      </c>
      <c r="AT551">
        <f>HYPERLINK("http://catalog.hathitrust.org/Record/007555946","HathiTrust Record")</f>
        <v/>
      </c>
      <c r="AU551">
        <f>HYPERLINK("https://creighton-primo.hosted.exlibrisgroup.com/primo-explore/search?tab=default_tab&amp;search_scope=EVERYTHING&amp;vid=01CRU&amp;lang=en_US&amp;offset=0&amp;query=any,contains,991001190889702656","Catalog Record")</f>
        <v/>
      </c>
      <c r="AV551">
        <f>HYPERLINK("http://www.worldcat.org/oclc/14669881","WorldCat Record")</f>
        <v/>
      </c>
      <c r="AW551" t="inlineStr">
        <is>
          <t>8511839:eng</t>
        </is>
      </c>
      <c r="AX551" t="inlineStr">
        <is>
          <t>14669881</t>
        </is>
      </c>
      <c r="AY551" t="inlineStr">
        <is>
          <t>991001190889702656</t>
        </is>
      </c>
      <c r="AZ551" t="inlineStr">
        <is>
          <t>991001190889702656</t>
        </is>
      </c>
      <c r="BA551" t="inlineStr">
        <is>
          <t>2268491190002656</t>
        </is>
      </c>
      <c r="BB551" t="inlineStr">
        <is>
          <t>BOOK</t>
        </is>
      </c>
      <c r="BE551" t="inlineStr">
        <is>
          <t>30001000979312</t>
        </is>
      </c>
      <c r="BF551" t="inlineStr">
        <is>
          <t>893648960</t>
        </is>
      </c>
    </row>
    <row r="552">
      <c r="A552" t="inlineStr">
        <is>
          <t>No</t>
        </is>
      </c>
      <c r="B552" t="inlineStr">
        <is>
          <t>CUHSL</t>
        </is>
      </c>
      <c r="C552" t="inlineStr">
        <is>
          <t>SHELVES</t>
        </is>
      </c>
      <c r="D552" t="inlineStr">
        <is>
          <t>W 50 S973h</t>
        </is>
      </c>
      <c r="E552" t="inlineStr">
        <is>
          <t>0                      W  0050000S  973h</t>
        </is>
      </c>
      <c r="F552" t="inlineStr">
        <is>
          <t>Health, professionals, and the public : toward a new social contract? / Judith P. Swazey.</t>
        </is>
      </c>
      <c r="H552" t="inlineStr">
        <is>
          <t>No</t>
        </is>
      </c>
      <c r="I552" t="inlineStr">
        <is>
          <t>1</t>
        </is>
      </c>
      <c r="J552" t="inlineStr">
        <is>
          <t>No</t>
        </is>
      </c>
      <c r="K552" t="inlineStr">
        <is>
          <t>No</t>
        </is>
      </c>
      <c r="L552" t="inlineStr">
        <is>
          <t>0</t>
        </is>
      </c>
      <c r="M552" t="inlineStr">
        <is>
          <t>Swazey, Judith P.</t>
        </is>
      </c>
      <c r="N552" t="inlineStr">
        <is>
          <t>Philadelphia : Society for Health and Human Values, c1979.</t>
        </is>
      </c>
      <c r="O552" t="inlineStr">
        <is>
          <t>1979</t>
        </is>
      </c>
      <c r="Q552" t="inlineStr">
        <is>
          <t>eng</t>
        </is>
      </c>
      <c r="R552" t="inlineStr">
        <is>
          <t>pau</t>
        </is>
      </c>
      <c r="T552" t="inlineStr">
        <is>
          <t xml:space="preserve">W  </t>
        </is>
      </c>
      <c r="U552" t="n">
        <v>2</v>
      </c>
      <c r="V552" t="n">
        <v>2</v>
      </c>
      <c r="W552" t="inlineStr">
        <is>
          <t>2003-09-29</t>
        </is>
      </c>
      <c r="X552" t="inlineStr">
        <is>
          <t>2003-09-29</t>
        </is>
      </c>
      <c r="Y552" t="inlineStr">
        <is>
          <t>1987-10-02</t>
        </is>
      </c>
      <c r="Z552" t="inlineStr">
        <is>
          <t>1987-10-02</t>
        </is>
      </c>
      <c r="AA552" t="n">
        <v>15</v>
      </c>
      <c r="AB552" t="n">
        <v>13</v>
      </c>
      <c r="AC552" t="n">
        <v>13</v>
      </c>
      <c r="AD552" t="n">
        <v>1</v>
      </c>
      <c r="AE552" t="n">
        <v>1</v>
      </c>
      <c r="AF552" t="n">
        <v>0</v>
      </c>
      <c r="AG552" t="n">
        <v>0</v>
      </c>
      <c r="AH552" t="n">
        <v>0</v>
      </c>
      <c r="AI552" t="n">
        <v>0</v>
      </c>
      <c r="AJ552" t="n">
        <v>0</v>
      </c>
      <c r="AK552" t="n">
        <v>0</v>
      </c>
      <c r="AL552" t="n">
        <v>0</v>
      </c>
      <c r="AM552" t="n">
        <v>0</v>
      </c>
      <c r="AN552" t="n">
        <v>0</v>
      </c>
      <c r="AO552" t="n">
        <v>0</v>
      </c>
      <c r="AP552" t="n">
        <v>0</v>
      </c>
      <c r="AQ552" t="n">
        <v>0</v>
      </c>
      <c r="AR552" t="inlineStr">
        <is>
          <t>No</t>
        </is>
      </c>
      <c r="AS552" t="inlineStr">
        <is>
          <t>No</t>
        </is>
      </c>
      <c r="AU552">
        <f>HYPERLINK("https://creighton-primo.hosted.exlibrisgroup.com/primo-explore/search?tab=default_tab&amp;search_scope=EVERYTHING&amp;vid=01CRU&amp;lang=en_US&amp;offset=0&amp;query=any,contains,991001459439702656","Catalog Record")</f>
        <v/>
      </c>
      <c r="AV552">
        <f>HYPERLINK("http://www.worldcat.org/oclc/6157632","WorldCat Record")</f>
        <v/>
      </c>
      <c r="AW552" t="inlineStr">
        <is>
          <t>895334072:eng</t>
        </is>
      </c>
      <c r="AX552" t="inlineStr">
        <is>
          <t>6157632</t>
        </is>
      </c>
      <c r="AY552" t="inlineStr">
        <is>
          <t>991001459439702656</t>
        </is>
      </c>
      <c r="AZ552" t="inlineStr">
        <is>
          <t>991001459439702656</t>
        </is>
      </c>
      <c r="BA552" t="inlineStr">
        <is>
          <t>2258300750002656</t>
        </is>
      </c>
      <c r="BB552" t="inlineStr">
        <is>
          <t>BOOK</t>
        </is>
      </c>
      <c r="BE552" t="inlineStr">
        <is>
          <t>30001000555427</t>
        </is>
      </c>
      <c r="BF552" t="inlineStr">
        <is>
          <t>893162026</t>
        </is>
      </c>
    </row>
    <row r="553">
      <c r="A553" t="inlineStr">
        <is>
          <t>No</t>
        </is>
      </c>
      <c r="B553" t="inlineStr">
        <is>
          <t>CUHSL</t>
        </is>
      </c>
      <c r="C553" t="inlineStr">
        <is>
          <t>SHELVES</t>
        </is>
      </c>
      <c r="D553" t="inlineStr">
        <is>
          <t>W 50 S979e 1984</t>
        </is>
      </c>
      <c r="E553" t="inlineStr">
        <is>
          <t>0                      W  0050000S  979e        1984</t>
        </is>
      </c>
      <c r="F553" t="inlineStr">
        <is>
          <t>Ethical dilemmas in medicine : an anthropological perspective / by Judith L. Swyter.</t>
        </is>
      </c>
      <c r="H553" t="inlineStr">
        <is>
          <t>No</t>
        </is>
      </c>
      <c r="I553" t="inlineStr">
        <is>
          <t>1</t>
        </is>
      </c>
      <c r="J553" t="inlineStr">
        <is>
          <t>No</t>
        </is>
      </c>
      <c r="K553" t="inlineStr">
        <is>
          <t>No</t>
        </is>
      </c>
      <c r="L553" t="inlineStr">
        <is>
          <t>0</t>
        </is>
      </c>
      <c r="M553" t="inlineStr">
        <is>
          <t>Swyter, Judith L., 1939-</t>
        </is>
      </c>
      <c r="N553" t="inlineStr">
        <is>
          <t>Ann Arbor, Mi. : University Microfilms International, 1984, 1989.</t>
        </is>
      </c>
      <c r="O553" t="inlineStr">
        <is>
          <t>1984</t>
        </is>
      </c>
      <c r="Q553" t="inlineStr">
        <is>
          <t>eng</t>
        </is>
      </c>
      <c r="R553" t="inlineStr">
        <is>
          <t xml:space="preserve">xx </t>
        </is>
      </c>
      <c r="T553" t="inlineStr">
        <is>
          <t xml:space="preserve">W  </t>
        </is>
      </c>
      <c r="U553" t="n">
        <v>6</v>
      </c>
      <c r="V553" t="n">
        <v>6</v>
      </c>
      <c r="W553" t="inlineStr">
        <is>
          <t>1996-08-17</t>
        </is>
      </c>
      <c r="X553" t="inlineStr">
        <is>
          <t>1996-08-17</t>
        </is>
      </c>
      <c r="Y553" t="inlineStr">
        <is>
          <t>1989-03-28</t>
        </is>
      </c>
      <c r="Z553" t="inlineStr">
        <is>
          <t>1989-03-28</t>
        </is>
      </c>
      <c r="AA553" t="n">
        <v>2</v>
      </c>
      <c r="AB553" t="n">
        <v>2</v>
      </c>
      <c r="AC553" t="n">
        <v>2</v>
      </c>
      <c r="AD553" t="n">
        <v>1</v>
      </c>
      <c r="AE553" t="n">
        <v>1</v>
      </c>
      <c r="AF553" t="n">
        <v>0</v>
      </c>
      <c r="AG553" t="n">
        <v>0</v>
      </c>
      <c r="AH553" t="n">
        <v>0</v>
      </c>
      <c r="AI553" t="n">
        <v>0</v>
      </c>
      <c r="AJ553" t="n">
        <v>0</v>
      </c>
      <c r="AK553" t="n">
        <v>0</v>
      </c>
      <c r="AL553" t="n">
        <v>0</v>
      </c>
      <c r="AM553" t="n">
        <v>0</v>
      </c>
      <c r="AN553" t="n">
        <v>0</v>
      </c>
      <c r="AO553" t="n">
        <v>0</v>
      </c>
      <c r="AP553" t="n">
        <v>0</v>
      </c>
      <c r="AQ553" t="n">
        <v>0</v>
      </c>
      <c r="AR553" t="inlineStr">
        <is>
          <t>No</t>
        </is>
      </c>
      <c r="AS553" t="inlineStr">
        <is>
          <t>No</t>
        </is>
      </c>
      <c r="AU553">
        <f>HYPERLINK("https://creighton-primo.hosted.exlibrisgroup.com/primo-explore/search?tab=default_tab&amp;search_scope=EVERYTHING&amp;vid=01CRU&amp;lang=en_US&amp;offset=0&amp;query=any,contains,991001242959702656","Catalog Record")</f>
        <v/>
      </c>
      <c r="AV553">
        <f>HYPERLINK("http://www.worldcat.org/oclc/11542285","WorldCat Record")</f>
        <v/>
      </c>
      <c r="AW553" t="inlineStr">
        <is>
          <t>502166970:eng</t>
        </is>
      </c>
      <c r="AX553" t="inlineStr">
        <is>
          <t>11542285</t>
        </is>
      </c>
      <c r="AY553" t="inlineStr">
        <is>
          <t>991001242959702656</t>
        </is>
      </c>
      <c r="AZ553" t="inlineStr">
        <is>
          <t>991001242959702656</t>
        </is>
      </c>
      <c r="BA553" t="inlineStr">
        <is>
          <t>2262204590002656</t>
        </is>
      </c>
      <c r="BB553" t="inlineStr">
        <is>
          <t>BOOK</t>
        </is>
      </c>
      <c r="BE553" t="inlineStr">
        <is>
          <t>30001001676180</t>
        </is>
      </c>
      <c r="BF553" t="inlineStr">
        <is>
          <t>893651926</t>
        </is>
      </c>
    </row>
    <row r="554">
      <c r="A554" t="inlineStr">
        <is>
          <t>No</t>
        </is>
      </c>
      <c r="B554" t="inlineStr">
        <is>
          <t>CUHSL</t>
        </is>
      </c>
      <c r="C554" t="inlineStr">
        <is>
          <t>SHELVES</t>
        </is>
      </c>
      <c r="D554" t="inlineStr">
        <is>
          <t>W 50 S987c 1972</t>
        </is>
      </c>
      <c r="E554" t="inlineStr">
        <is>
          <t>0                      W  0050000S  987c        1972</t>
        </is>
      </c>
      <c r="F554" t="inlineStr">
        <is>
          <t>The case of Willowbrook State Hospital [i.e. School] research : proceedings ... May 4, 1972.</t>
        </is>
      </c>
      <c r="H554" t="inlineStr">
        <is>
          <t>No</t>
        </is>
      </c>
      <c r="I554" t="inlineStr">
        <is>
          <t>1</t>
        </is>
      </c>
      <c r="J554" t="inlineStr">
        <is>
          <t>No</t>
        </is>
      </c>
      <c r="K554" t="inlineStr">
        <is>
          <t>No</t>
        </is>
      </c>
      <c r="L554" t="inlineStr">
        <is>
          <t>0</t>
        </is>
      </c>
      <c r="M554" t="inlineStr">
        <is>
          <t>Symposium on Ethical Issues in Human Experimentation: the Case of Willowbrook State Hospital Research (1972 : New York, N.Y.)</t>
        </is>
      </c>
      <c r="N554" t="inlineStr">
        <is>
          <t>[New York] : Urban Health Affairs Program, New York Univ. Medical Center, [1973]</t>
        </is>
      </c>
      <c r="O554" t="inlineStr">
        <is>
          <t>1973</t>
        </is>
      </c>
      <c r="Q554" t="inlineStr">
        <is>
          <t>eng</t>
        </is>
      </c>
      <c r="R554" t="inlineStr">
        <is>
          <t>nyu</t>
        </is>
      </c>
      <c r="T554" t="inlineStr">
        <is>
          <t xml:space="preserve">W  </t>
        </is>
      </c>
      <c r="U554" t="n">
        <v>3</v>
      </c>
      <c r="V554" t="n">
        <v>3</v>
      </c>
      <c r="W554" t="inlineStr">
        <is>
          <t>1991-04-17</t>
        </is>
      </c>
      <c r="X554" t="inlineStr">
        <is>
          <t>1991-04-17</t>
        </is>
      </c>
      <c r="Y554" t="inlineStr">
        <is>
          <t>1987-10-08</t>
        </is>
      </c>
      <c r="Z554" t="inlineStr">
        <is>
          <t>1987-10-08</t>
        </is>
      </c>
      <c r="AA554" t="n">
        <v>18</v>
      </c>
      <c r="AB554" t="n">
        <v>13</v>
      </c>
      <c r="AC554" t="n">
        <v>13</v>
      </c>
      <c r="AD554" t="n">
        <v>1</v>
      </c>
      <c r="AE554" t="n">
        <v>1</v>
      </c>
      <c r="AF554" t="n">
        <v>0</v>
      </c>
      <c r="AG554" t="n">
        <v>0</v>
      </c>
      <c r="AH554" t="n">
        <v>0</v>
      </c>
      <c r="AI554" t="n">
        <v>0</v>
      </c>
      <c r="AJ554" t="n">
        <v>0</v>
      </c>
      <c r="AK554" t="n">
        <v>0</v>
      </c>
      <c r="AL554" t="n">
        <v>0</v>
      </c>
      <c r="AM554" t="n">
        <v>0</v>
      </c>
      <c r="AN554" t="n">
        <v>0</v>
      </c>
      <c r="AO554" t="n">
        <v>0</v>
      </c>
      <c r="AP554" t="n">
        <v>0</v>
      </c>
      <c r="AQ554" t="n">
        <v>0</v>
      </c>
      <c r="AR554" t="inlineStr">
        <is>
          <t>No</t>
        </is>
      </c>
      <c r="AS554" t="inlineStr">
        <is>
          <t>No</t>
        </is>
      </c>
      <c r="AU554">
        <f>HYPERLINK("https://creighton-primo.hosted.exlibrisgroup.com/primo-explore/search?tab=default_tab&amp;search_scope=EVERYTHING&amp;vid=01CRU&amp;lang=en_US&amp;offset=0&amp;query=any,contains,991001459339702656","Catalog Record")</f>
        <v/>
      </c>
      <c r="AV554">
        <f>HYPERLINK("http://www.worldcat.org/oclc/14416105","WorldCat Record")</f>
        <v/>
      </c>
      <c r="AW554" t="inlineStr">
        <is>
          <t>5608906907:eng</t>
        </is>
      </c>
      <c r="AX554" t="inlineStr">
        <is>
          <t>14416105</t>
        </is>
      </c>
      <c r="AY554" t="inlineStr">
        <is>
          <t>991001459339702656</t>
        </is>
      </c>
      <c r="AZ554" t="inlineStr">
        <is>
          <t>991001459339702656</t>
        </is>
      </c>
      <c r="BA554" t="inlineStr">
        <is>
          <t>2265714520002656</t>
        </is>
      </c>
      <c r="BB554" t="inlineStr">
        <is>
          <t>BOOK</t>
        </is>
      </c>
      <c r="BE554" t="inlineStr">
        <is>
          <t>30001000555401</t>
        </is>
      </c>
      <c r="BF554" t="inlineStr">
        <is>
          <t>893279126</t>
        </is>
      </c>
    </row>
    <row r="555">
      <c r="A555" t="inlineStr">
        <is>
          <t>No</t>
        </is>
      </c>
      <c r="B555" t="inlineStr">
        <is>
          <t>CUHSL</t>
        </is>
      </c>
      <c r="C555" t="inlineStr">
        <is>
          <t>SHELVES</t>
        </is>
      </c>
      <c r="D555" t="inlineStr">
        <is>
          <t>W 50 T136 1984</t>
        </is>
      </c>
      <c r="E555" t="inlineStr">
        <is>
          <t>0                      W  0050000T  136         1984</t>
        </is>
      </c>
      <c r="F555" t="inlineStr">
        <is>
          <t>Taking sides : clashing views on controversial bio-ethical issues / edited, selected and with introductions by Carol Levine.</t>
        </is>
      </c>
      <c r="H555" t="inlineStr">
        <is>
          <t>No</t>
        </is>
      </c>
      <c r="I555" t="inlineStr">
        <is>
          <t>1</t>
        </is>
      </c>
      <c r="J555" t="inlineStr">
        <is>
          <t>No</t>
        </is>
      </c>
      <c r="K555" t="inlineStr">
        <is>
          <t>Yes</t>
        </is>
      </c>
      <c r="L555" t="inlineStr">
        <is>
          <t>0</t>
        </is>
      </c>
      <c r="N555" t="inlineStr">
        <is>
          <t>Guilford, Conn. : Dushkin Pub. Group, c1984.</t>
        </is>
      </c>
      <c r="O555" t="inlineStr">
        <is>
          <t>1984</t>
        </is>
      </c>
      <c r="P555" t="inlineStr">
        <is>
          <t>1st ed.</t>
        </is>
      </c>
      <c r="Q555" t="inlineStr">
        <is>
          <t>eng</t>
        </is>
      </c>
      <c r="R555" t="inlineStr">
        <is>
          <t>ctu</t>
        </is>
      </c>
      <c r="T555" t="inlineStr">
        <is>
          <t xml:space="preserve">W  </t>
        </is>
      </c>
      <c r="U555" t="n">
        <v>27</v>
      </c>
      <c r="V555" t="n">
        <v>27</v>
      </c>
      <c r="W555" t="inlineStr">
        <is>
          <t>2010-04-07</t>
        </is>
      </c>
      <c r="X555" t="inlineStr">
        <is>
          <t>2010-04-07</t>
        </is>
      </c>
      <c r="Y555" t="inlineStr">
        <is>
          <t>1987-10-02</t>
        </is>
      </c>
      <c r="Z555" t="inlineStr">
        <is>
          <t>1987-10-02</t>
        </is>
      </c>
      <c r="AA555" t="n">
        <v>170</v>
      </c>
      <c r="AB555" t="n">
        <v>156</v>
      </c>
      <c r="AC555" t="n">
        <v>1311</v>
      </c>
      <c r="AD555" t="n">
        <v>2</v>
      </c>
      <c r="AE555" t="n">
        <v>7</v>
      </c>
      <c r="AF555" t="n">
        <v>7</v>
      </c>
      <c r="AG555" t="n">
        <v>33</v>
      </c>
      <c r="AH555" t="n">
        <v>3</v>
      </c>
      <c r="AI555" t="n">
        <v>14</v>
      </c>
      <c r="AJ555" t="n">
        <v>0</v>
      </c>
      <c r="AK555" t="n">
        <v>4</v>
      </c>
      <c r="AL555" t="n">
        <v>5</v>
      </c>
      <c r="AM555" t="n">
        <v>17</v>
      </c>
      <c r="AN555" t="n">
        <v>0</v>
      </c>
      <c r="AO555" t="n">
        <v>2</v>
      </c>
      <c r="AP555" t="n">
        <v>0</v>
      </c>
      <c r="AQ555" t="n">
        <v>4</v>
      </c>
      <c r="AR555" t="inlineStr">
        <is>
          <t>No</t>
        </is>
      </c>
      <c r="AS555" t="inlineStr">
        <is>
          <t>No</t>
        </is>
      </c>
      <c r="AU555">
        <f>HYPERLINK("https://creighton-primo.hosted.exlibrisgroup.com/primo-explore/search?tab=default_tab&amp;search_scope=EVERYTHING&amp;vid=01CRU&amp;lang=en_US&amp;offset=0&amp;query=any,contains,991001459529702656","Catalog Record")</f>
        <v/>
      </c>
      <c r="AV555">
        <f>HYPERLINK("http://www.worldcat.org/oclc/10777591","WorldCat Record")</f>
        <v/>
      </c>
      <c r="AW555" t="inlineStr">
        <is>
          <t>138072162:eng</t>
        </is>
      </c>
      <c r="AX555" t="inlineStr">
        <is>
          <t>10777591</t>
        </is>
      </c>
      <c r="AY555" t="inlineStr">
        <is>
          <t>991001459529702656</t>
        </is>
      </c>
      <c r="AZ555" t="inlineStr">
        <is>
          <t>991001459529702656</t>
        </is>
      </c>
      <c r="BA555" t="inlineStr">
        <is>
          <t>2263866680002656</t>
        </is>
      </c>
      <c r="BB555" t="inlineStr">
        <is>
          <t>BOOK</t>
        </is>
      </c>
      <c r="BD555" t="inlineStr">
        <is>
          <t>9780879674908</t>
        </is>
      </c>
      <c r="BE555" t="inlineStr">
        <is>
          <t>30001000555443</t>
        </is>
      </c>
      <c r="BF555" t="inlineStr">
        <is>
          <t>893162027</t>
        </is>
      </c>
    </row>
    <row r="556">
      <c r="A556" t="inlineStr">
        <is>
          <t>No</t>
        </is>
      </c>
      <c r="B556" t="inlineStr">
        <is>
          <t>CUHSL</t>
        </is>
      </c>
      <c r="C556" t="inlineStr">
        <is>
          <t>SHELVES</t>
        </is>
      </c>
      <c r="D556" t="inlineStr">
        <is>
          <t>W 50 T136 1985</t>
        </is>
      </c>
      <c r="E556" t="inlineStr">
        <is>
          <t>0                      W  0050000T  136         1985</t>
        </is>
      </c>
      <c r="F556" t="inlineStr">
        <is>
          <t>Taking charge of the end of your life : proceedings of a forum on living wills and other advance directives.</t>
        </is>
      </c>
      <c r="H556" t="inlineStr">
        <is>
          <t>No</t>
        </is>
      </c>
      <c r="I556" t="inlineStr">
        <is>
          <t>1</t>
        </is>
      </c>
      <c r="J556" t="inlineStr">
        <is>
          <t>No</t>
        </is>
      </c>
      <c r="K556" t="inlineStr">
        <is>
          <t>No</t>
        </is>
      </c>
      <c r="L556" t="inlineStr">
        <is>
          <t>0</t>
        </is>
      </c>
      <c r="N556" t="inlineStr">
        <is>
          <t>Washington, D.C. : American Bar Association's Commission on Legal Problems of the Elderly : Older Women's League, 1985.</t>
        </is>
      </c>
      <c r="O556" t="inlineStr">
        <is>
          <t>1985</t>
        </is>
      </c>
      <c r="Q556" t="inlineStr">
        <is>
          <t>eng</t>
        </is>
      </c>
      <c r="R556" t="inlineStr">
        <is>
          <t>dcu</t>
        </is>
      </c>
      <c r="T556" t="inlineStr">
        <is>
          <t xml:space="preserve">W  </t>
        </is>
      </c>
      <c r="U556" t="n">
        <v>6</v>
      </c>
      <c r="V556" t="n">
        <v>6</v>
      </c>
      <c r="W556" t="inlineStr">
        <is>
          <t>1997-11-11</t>
        </is>
      </c>
      <c r="X556" t="inlineStr">
        <is>
          <t>1997-11-11</t>
        </is>
      </c>
      <c r="Y556" t="inlineStr">
        <is>
          <t>1990-09-24</t>
        </is>
      </c>
      <c r="Z556" t="inlineStr">
        <is>
          <t>1990-09-24</t>
        </is>
      </c>
      <c r="AA556" t="n">
        <v>18</v>
      </c>
      <c r="AB556" t="n">
        <v>18</v>
      </c>
      <c r="AC556" t="n">
        <v>18</v>
      </c>
      <c r="AD556" t="n">
        <v>1</v>
      </c>
      <c r="AE556" t="n">
        <v>1</v>
      </c>
      <c r="AF556" t="n">
        <v>2</v>
      </c>
      <c r="AG556" t="n">
        <v>2</v>
      </c>
      <c r="AH556" t="n">
        <v>0</v>
      </c>
      <c r="AI556" t="n">
        <v>0</v>
      </c>
      <c r="AJ556" t="n">
        <v>0</v>
      </c>
      <c r="AK556" t="n">
        <v>0</v>
      </c>
      <c r="AL556" t="n">
        <v>0</v>
      </c>
      <c r="AM556" t="n">
        <v>0</v>
      </c>
      <c r="AN556" t="n">
        <v>0</v>
      </c>
      <c r="AO556" t="n">
        <v>0</v>
      </c>
      <c r="AP556" t="n">
        <v>2</v>
      </c>
      <c r="AQ556" t="n">
        <v>2</v>
      </c>
      <c r="AR556" t="inlineStr">
        <is>
          <t>No</t>
        </is>
      </c>
      <c r="AS556" t="inlineStr">
        <is>
          <t>No</t>
        </is>
      </c>
      <c r="AU556">
        <f>HYPERLINK("https://creighton-primo.hosted.exlibrisgroup.com/primo-explore/search?tab=default_tab&amp;search_scope=EVERYTHING&amp;vid=01CRU&amp;lang=en_US&amp;offset=0&amp;query=any,contains,991001454739702656","Catalog Record")</f>
        <v/>
      </c>
      <c r="AV556">
        <f>HYPERLINK("http://www.worldcat.org/oclc/12790261","WorldCat Record")</f>
        <v/>
      </c>
      <c r="AW556" t="inlineStr">
        <is>
          <t>54758520:eng</t>
        </is>
      </c>
      <c r="AX556" t="inlineStr">
        <is>
          <t>12790261</t>
        </is>
      </c>
      <c r="AY556" t="inlineStr">
        <is>
          <t>991001454739702656</t>
        </is>
      </c>
      <c r="AZ556" t="inlineStr">
        <is>
          <t>991001454739702656</t>
        </is>
      </c>
      <c r="BA556" t="inlineStr">
        <is>
          <t>2256108510002656</t>
        </is>
      </c>
      <c r="BB556" t="inlineStr">
        <is>
          <t>BOOK</t>
        </is>
      </c>
      <c r="BE556" t="inlineStr">
        <is>
          <t>30001001884594</t>
        </is>
      </c>
      <c r="BF556" t="inlineStr">
        <is>
          <t>893149234</t>
        </is>
      </c>
    </row>
    <row r="557">
      <c r="A557" t="inlineStr">
        <is>
          <t>No</t>
        </is>
      </c>
      <c r="B557" t="inlineStr">
        <is>
          <t>CUHSL</t>
        </is>
      </c>
      <c r="C557" t="inlineStr">
        <is>
          <t>SHELVES</t>
        </is>
      </c>
      <c r="D557" t="inlineStr">
        <is>
          <t>W 50 T136 2006</t>
        </is>
      </c>
      <c r="E557" t="inlineStr">
        <is>
          <t>0                      W  0050000T  136         2006</t>
        </is>
      </c>
      <c r="F557" t="inlineStr">
        <is>
          <t>Taking sides. Clashing views on controversial bioethical issues / edited, selected, and with introductions by Carol Levine.</t>
        </is>
      </c>
      <c r="H557" t="inlineStr">
        <is>
          <t>No</t>
        </is>
      </c>
      <c r="I557" t="inlineStr">
        <is>
          <t>1</t>
        </is>
      </c>
      <c r="J557" t="inlineStr">
        <is>
          <t>No</t>
        </is>
      </c>
      <c r="K557" t="inlineStr">
        <is>
          <t>Yes</t>
        </is>
      </c>
      <c r="L557" t="inlineStr">
        <is>
          <t>0</t>
        </is>
      </c>
      <c r="N557" t="inlineStr">
        <is>
          <t>Guilford, Conn. : McGraw Hill/Dushkin, c2006.</t>
        </is>
      </c>
      <c r="O557" t="inlineStr">
        <is>
          <t>2006</t>
        </is>
      </c>
      <c r="P557" t="inlineStr">
        <is>
          <t>11th ed.</t>
        </is>
      </c>
      <c r="Q557" t="inlineStr">
        <is>
          <t>eng</t>
        </is>
      </c>
      <c r="R557" t="inlineStr">
        <is>
          <t>ctu</t>
        </is>
      </c>
      <c r="T557" t="inlineStr">
        <is>
          <t xml:space="preserve">W  </t>
        </is>
      </c>
      <c r="U557" t="n">
        <v>4</v>
      </c>
      <c r="V557" t="n">
        <v>4</v>
      </c>
      <c r="W557" t="inlineStr">
        <is>
          <t>2009-02-23</t>
        </is>
      </c>
      <c r="X557" t="inlineStr">
        <is>
          <t>2009-02-23</t>
        </is>
      </c>
      <c r="Y557" t="inlineStr">
        <is>
          <t>2007-02-08</t>
        </is>
      </c>
      <c r="Z557" t="inlineStr">
        <is>
          <t>2007-02-08</t>
        </is>
      </c>
      <c r="AA557" t="n">
        <v>250</v>
      </c>
      <c r="AB557" t="n">
        <v>211</v>
      </c>
      <c r="AC557" t="n">
        <v>1311</v>
      </c>
      <c r="AD557" t="n">
        <v>2</v>
      </c>
      <c r="AE557" t="n">
        <v>7</v>
      </c>
      <c r="AF557" t="n">
        <v>7</v>
      </c>
      <c r="AG557" t="n">
        <v>33</v>
      </c>
      <c r="AH557" t="n">
        <v>4</v>
      </c>
      <c r="AI557" t="n">
        <v>14</v>
      </c>
      <c r="AJ557" t="n">
        <v>1</v>
      </c>
      <c r="AK557" t="n">
        <v>4</v>
      </c>
      <c r="AL557" t="n">
        <v>5</v>
      </c>
      <c r="AM557" t="n">
        <v>17</v>
      </c>
      <c r="AN557" t="n">
        <v>1</v>
      </c>
      <c r="AO557" t="n">
        <v>2</v>
      </c>
      <c r="AP557" t="n">
        <v>0</v>
      </c>
      <c r="AQ557" t="n">
        <v>4</v>
      </c>
      <c r="AR557" t="inlineStr">
        <is>
          <t>No</t>
        </is>
      </c>
      <c r="AS557" t="inlineStr">
        <is>
          <t>No</t>
        </is>
      </c>
      <c r="AU557">
        <f>HYPERLINK("https://creighton-primo.hosted.exlibrisgroup.com/primo-explore/search?tab=default_tab&amp;search_scope=EVERYTHING&amp;vid=01CRU&amp;lang=en_US&amp;offset=0&amp;query=any,contains,991000593699702656","Catalog Record")</f>
        <v/>
      </c>
      <c r="AV557">
        <f>HYPERLINK("http://www.worldcat.org/oclc/60531543","WorldCat Record")</f>
        <v/>
      </c>
      <c r="AW557" t="inlineStr">
        <is>
          <t>138072162:eng</t>
        </is>
      </c>
      <c r="AX557" t="inlineStr">
        <is>
          <t>60531543</t>
        </is>
      </c>
      <c r="AY557" t="inlineStr">
        <is>
          <t>991000593699702656</t>
        </is>
      </c>
      <c r="AZ557" t="inlineStr">
        <is>
          <t>991000593699702656</t>
        </is>
      </c>
      <c r="BA557" t="inlineStr">
        <is>
          <t>2263922880002656</t>
        </is>
      </c>
      <c r="BB557" t="inlineStr">
        <is>
          <t>BOOK</t>
        </is>
      </c>
      <c r="BD557" t="inlineStr">
        <is>
          <t>9780073129556</t>
        </is>
      </c>
      <c r="BE557" t="inlineStr">
        <is>
          <t>30001005214582</t>
        </is>
      </c>
      <c r="BF557" t="inlineStr">
        <is>
          <t>893463937</t>
        </is>
      </c>
    </row>
    <row r="558">
      <c r="A558" t="inlineStr">
        <is>
          <t>No</t>
        </is>
      </c>
      <c r="B558" t="inlineStr">
        <is>
          <t>CUHSL</t>
        </is>
      </c>
      <c r="C558" t="inlineStr">
        <is>
          <t>SHELVES</t>
        </is>
      </c>
      <c r="D558" t="inlineStr">
        <is>
          <t>W 50 T458w 1987</t>
        </is>
      </c>
      <c r="E558" t="inlineStr">
        <is>
          <t>0                      W  0050000T  458w        1987</t>
        </is>
      </c>
      <c r="F558" t="inlineStr">
        <is>
          <t>Well and good : case studies in biomedical ethics / John E. Thomas and Wilfred J. Waluchow.</t>
        </is>
      </c>
      <c r="H558" t="inlineStr">
        <is>
          <t>No</t>
        </is>
      </c>
      <c r="I558" t="inlineStr">
        <is>
          <t>1</t>
        </is>
      </c>
      <c r="J558" t="inlineStr">
        <is>
          <t>No</t>
        </is>
      </c>
      <c r="K558" t="inlineStr">
        <is>
          <t>Yes</t>
        </is>
      </c>
      <c r="L558" t="inlineStr">
        <is>
          <t>0</t>
        </is>
      </c>
      <c r="M558" t="inlineStr">
        <is>
          <t>Thomas, John E. (John Edward), 1926-1996.</t>
        </is>
      </c>
      <c r="N558" t="inlineStr">
        <is>
          <t>Peterborough [Ont.] : Broadview Press, c1987.</t>
        </is>
      </c>
      <c r="O558" t="inlineStr">
        <is>
          <t>1987</t>
        </is>
      </c>
      <c r="Q558" t="inlineStr">
        <is>
          <t>eng</t>
        </is>
      </c>
      <c r="R558" t="inlineStr">
        <is>
          <t>onc</t>
        </is>
      </c>
      <c r="T558" t="inlineStr">
        <is>
          <t xml:space="preserve">W  </t>
        </is>
      </c>
      <c r="U558" t="n">
        <v>6</v>
      </c>
      <c r="V558" t="n">
        <v>6</v>
      </c>
      <c r="W558" t="inlineStr">
        <is>
          <t>1998-02-18</t>
        </is>
      </c>
      <c r="X558" t="inlineStr">
        <is>
          <t>1998-02-18</t>
        </is>
      </c>
      <c r="Y558" t="inlineStr">
        <is>
          <t>1988-03-19</t>
        </is>
      </c>
      <c r="Z558" t="inlineStr">
        <is>
          <t>1988-03-19</t>
        </is>
      </c>
      <c r="AA558" t="n">
        <v>158</v>
      </c>
      <c r="AB558" t="n">
        <v>118</v>
      </c>
      <c r="AC558" t="n">
        <v>252</v>
      </c>
      <c r="AD558" t="n">
        <v>4</v>
      </c>
      <c r="AE558" t="n">
        <v>5</v>
      </c>
      <c r="AF558" t="n">
        <v>4</v>
      </c>
      <c r="AG558" t="n">
        <v>12</v>
      </c>
      <c r="AH558" t="n">
        <v>0</v>
      </c>
      <c r="AI558" t="n">
        <v>6</v>
      </c>
      <c r="AJ558" t="n">
        <v>1</v>
      </c>
      <c r="AK558" t="n">
        <v>2</v>
      </c>
      <c r="AL558" t="n">
        <v>2</v>
      </c>
      <c r="AM558" t="n">
        <v>8</v>
      </c>
      <c r="AN558" t="n">
        <v>1</v>
      </c>
      <c r="AO558" t="n">
        <v>1</v>
      </c>
      <c r="AP558" t="n">
        <v>0</v>
      </c>
      <c r="AQ558" t="n">
        <v>0</v>
      </c>
      <c r="AR558" t="inlineStr">
        <is>
          <t>No</t>
        </is>
      </c>
      <c r="AS558" t="inlineStr">
        <is>
          <t>Yes</t>
        </is>
      </c>
      <c r="AT558">
        <f>HYPERLINK("http://catalog.hathitrust.org/Record/009919946","HathiTrust Record")</f>
        <v/>
      </c>
      <c r="AU558">
        <f>HYPERLINK("https://creighton-primo.hosted.exlibrisgroup.com/primo-explore/search?tab=default_tab&amp;search_scope=EVERYTHING&amp;vid=01CRU&amp;lang=en_US&amp;offset=0&amp;query=any,contains,991001176159702656","Catalog Record")</f>
        <v/>
      </c>
      <c r="AV558">
        <f>HYPERLINK("http://www.worldcat.org/oclc/16183705","WorldCat Record")</f>
        <v/>
      </c>
      <c r="AW558" t="inlineStr">
        <is>
          <t>196532923:eng</t>
        </is>
      </c>
      <c r="AX558" t="inlineStr">
        <is>
          <t>16183705</t>
        </is>
      </c>
      <c r="AY558" t="inlineStr">
        <is>
          <t>991001176159702656</t>
        </is>
      </c>
      <c r="AZ558" t="inlineStr">
        <is>
          <t>991001176159702656</t>
        </is>
      </c>
      <c r="BA558" t="inlineStr">
        <is>
          <t>2271972800002656</t>
        </is>
      </c>
      <c r="BB558" t="inlineStr">
        <is>
          <t>BOOK</t>
        </is>
      </c>
      <c r="BD558" t="inlineStr">
        <is>
          <t>9780921149125</t>
        </is>
      </c>
      <c r="BE558" t="inlineStr">
        <is>
          <t>30001000976011</t>
        </is>
      </c>
      <c r="BF558" t="inlineStr">
        <is>
          <t>893278837</t>
        </is>
      </c>
    </row>
    <row r="559">
      <c r="A559" t="inlineStr">
        <is>
          <t>No</t>
        </is>
      </c>
      <c r="B559" t="inlineStr">
        <is>
          <t>CUHSL</t>
        </is>
      </c>
      <c r="C559" t="inlineStr">
        <is>
          <t>SHELVES</t>
        </is>
      </c>
      <c r="D559" t="inlineStr">
        <is>
          <t>W 50 T665f 1997</t>
        </is>
      </c>
      <c r="E559" t="inlineStr">
        <is>
          <t>0                      W  0050000T  665f        1997</t>
        </is>
      </c>
      <c r="F559" t="inlineStr">
        <is>
          <t>Feminist approaches to bioethics : theoretical reflections and practical applications / Rosemarie Tong.</t>
        </is>
      </c>
      <c r="H559" t="inlineStr">
        <is>
          <t>No</t>
        </is>
      </c>
      <c r="I559" t="inlineStr">
        <is>
          <t>1</t>
        </is>
      </c>
      <c r="J559" t="inlineStr">
        <is>
          <t>No</t>
        </is>
      </c>
      <c r="K559" t="inlineStr">
        <is>
          <t>No</t>
        </is>
      </c>
      <c r="L559" t="inlineStr">
        <is>
          <t>0</t>
        </is>
      </c>
      <c r="M559" t="inlineStr">
        <is>
          <t>Tong, Rosemarie.</t>
        </is>
      </c>
      <c r="N559" t="inlineStr">
        <is>
          <t>Boulder, Colo. : Westview Press, c1997.</t>
        </is>
      </c>
      <c r="O559" t="inlineStr">
        <is>
          <t>1997</t>
        </is>
      </c>
      <c r="Q559" t="inlineStr">
        <is>
          <t>eng</t>
        </is>
      </c>
      <c r="R559" t="inlineStr">
        <is>
          <t>cou</t>
        </is>
      </c>
      <c r="T559" t="inlineStr">
        <is>
          <t xml:space="preserve">W  </t>
        </is>
      </c>
      <c r="U559" t="n">
        <v>16</v>
      </c>
      <c r="V559" t="n">
        <v>16</v>
      </c>
      <c r="W559" t="inlineStr">
        <is>
          <t>2009-02-23</t>
        </is>
      </c>
      <c r="X559" t="inlineStr">
        <is>
          <t>2009-02-23</t>
        </is>
      </c>
      <c r="Y559" t="inlineStr">
        <is>
          <t>1998-01-16</t>
        </is>
      </c>
      <c r="Z559" t="inlineStr">
        <is>
          <t>1998-01-16</t>
        </is>
      </c>
      <c r="AA559" t="n">
        <v>472</v>
      </c>
      <c r="AB559" t="n">
        <v>367</v>
      </c>
      <c r="AC559" t="n">
        <v>385</v>
      </c>
      <c r="AD559" t="n">
        <v>2</v>
      </c>
      <c r="AE559" t="n">
        <v>2</v>
      </c>
      <c r="AF559" t="n">
        <v>26</v>
      </c>
      <c r="AG559" t="n">
        <v>27</v>
      </c>
      <c r="AH559" t="n">
        <v>10</v>
      </c>
      <c r="AI559" t="n">
        <v>10</v>
      </c>
      <c r="AJ559" t="n">
        <v>7</v>
      </c>
      <c r="AK559" t="n">
        <v>7</v>
      </c>
      <c r="AL559" t="n">
        <v>15</v>
      </c>
      <c r="AM559" t="n">
        <v>16</v>
      </c>
      <c r="AN559" t="n">
        <v>1</v>
      </c>
      <c r="AO559" t="n">
        <v>1</v>
      </c>
      <c r="AP559" t="n">
        <v>1</v>
      </c>
      <c r="AQ559" t="n">
        <v>1</v>
      </c>
      <c r="AR559" t="inlineStr">
        <is>
          <t>No</t>
        </is>
      </c>
      <c r="AS559" t="inlineStr">
        <is>
          <t>Yes</t>
        </is>
      </c>
      <c r="AT559">
        <f>HYPERLINK("http://catalog.hathitrust.org/Record/003180185","HathiTrust Record")</f>
        <v/>
      </c>
      <c r="AU559">
        <f>HYPERLINK("https://creighton-primo.hosted.exlibrisgroup.com/primo-explore/search?tab=default_tab&amp;search_scope=EVERYTHING&amp;vid=01CRU&amp;lang=en_US&amp;offset=0&amp;query=any,contains,991001227179702656","Catalog Record")</f>
        <v/>
      </c>
      <c r="AV559">
        <f>HYPERLINK("http://www.worldcat.org/oclc/35650691","WorldCat Record")</f>
        <v/>
      </c>
      <c r="AW559" t="inlineStr">
        <is>
          <t>837019257:eng</t>
        </is>
      </c>
      <c r="AX559" t="inlineStr">
        <is>
          <t>35650691</t>
        </is>
      </c>
      <c r="AY559" t="inlineStr">
        <is>
          <t>991001227179702656</t>
        </is>
      </c>
      <c r="AZ559" t="inlineStr">
        <is>
          <t>991001227179702656</t>
        </is>
      </c>
      <c r="BA559" t="inlineStr">
        <is>
          <t>2258323550002656</t>
        </is>
      </c>
      <c r="BB559" t="inlineStr">
        <is>
          <t>BOOK</t>
        </is>
      </c>
      <c r="BD559" t="inlineStr">
        <is>
          <t>9780813319544</t>
        </is>
      </c>
      <c r="BE559" t="inlineStr">
        <is>
          <t>30001003669753</t>
        </is>
      </c>
      <c r="BF559" t="inlineStr">
        <is>
          <t>893731760</t>
        </is>
      </c>
    </row>
    <row r="560">
      <c r="A560" t="inlineStr">
        <is>
          <t>No</t>
        </is>
      </c>
      <c r="B560" t="inlineStr">
        <is>
          <t>CUHSL</t>
        </is>
      </c>
      <c r="C560" t="inlineStr">
        <is>
          <t>SHELVES</t>
        </is>
      </c>
      <c r="D560" t="inlineStr">
        <is>
          <t>W 50 T668 1991</t>
        </is>
      </c>
      <c r="E560" t="inlineStr">
        <is>
          <t>0                      W  0050000T  668         1991</t>
        </is>
      </c>
      <c r="F560" t="inlineStr">
        <is>
          <t>Too old for health care? : controversies in medicine, law, economics, and ethics / edited by Robert H. Binstock and Stephen G. Post ; with the assistance of Laurel S. Mills.</t>
        </is>
      </c>
      <c r="H560" t="inlineStr">
        <is>
          <t>No</t>
        </is>
      </c>
      <c r="I560" t="inlineStr">
        <is>
          <t>1</t>
        </is>
      </c>
      <c r="J560" t="inlineStr">
        <is>
          <t>Yes</t>
        </is>
      </c>
      <c r="K560" t="inlineStr">
        <is>
          <t>No</t>
        </is>
      </c>
      <c r="L560" t="inlineStr">
        <is>
          <t>0</t>
        </is>
      </c>
      <c r="N560" t="inlineStr">
        <is>
          <t>Baltimore : Johns Hopkins University Press, c1991.</t>
        </is>
      </c>
      <c r="O560" t="inlineStr">
        <is>
          <t>1991</t>
        </is>
      </c>
      <c r="Q560" t="inlineStr">
        <is>
          <t>eng</t>
        </is>
      </c>
      <c r="R560" t="inlineStr">
        <is>
          <t>mdu</t>
        </is>
      </c>
      <c r="S560" t="inlineStr">
        <is>
          <t>The Johns Hopkins series in contemporary medicine and public health.</t>
        </is>
      </c>
      <c r="T560" t="inlineStr">
        <is>
          <t xml:space="preserve">W  </t>
        </is>
      </c>
      <c r="U560" t="n">
        <v>9</v>
      </c>
      <c r="V560" t="n">
        <v>9</v>
      </c>
      <c r="W560" t="inlineStr">
        <is>
          <t>2003-03-03</t>
        </is>
      </c>
      <c r="X560" t="inlineStr">
        <is>
          <t>2003-03-03</t>
        </is>
      </c>
      <c r="Y560" t="inlineStr">
        <is>
          <t>1991-09-17</t>
        </is>
      </c>
      <c r="Z560" t="inlineStr">
        <is>
          <t>1991-10-30</t>
        </is>
      </c>
      <c r="AA560" t="n">
        <v>683</v>
      </c>
      <c r="AB560" t="n">
        <v>595</v>
      </c>
      <c r="AC560" t="n">
        <v>602</v>
      </c>
      <c r="AD560" t="n">
        <v>5</v>
      </c>
      <c r="AE560" t="n">
        <v>5</v>
      </c>
      <c r="AF560" t="n">
        <v>35</v>
      </c>
      <c r="AG560" t="n">
        <v>35</v>
      </c>
      <c r="AH560" t="n">
        <v>12</v>
      </c>
      <c r="AI560" t="n">
        <v>12</v>
      </c>
      <c r="AJ560" t="n">
        <v>8</v>
      </c>
      <c r="AK560" t="n">
        <v>8</v>
      </c>
      <c r="AL560" t="n">
        <v>15</v>
      </c>
      <c r="AM560" t="n">
        <v>15</v>
      </c>
      <c r="AN560" t="n">
        <v>3</v>
      </c>
      <c r="AO560" t="n">
        <v>3</v>
      </c>
      <c r="AP560" t="n">
        <v>6</v>
      </c>
      <c r="AQ560" t="n">
        <v>6</v>
      </c>
      <c r="AR560" t="inlineStr">
        <is>
          <t>No</t>
        </is>
      </c>
      <c r="AS560" t="inlineStr">
        <is>
          <t>No</t>
        </is>
      </c>
      <c r="AU560">
        <f>HYPERLINK("https://creighton-primo.hosted.exlibrisgroup.com/primo-explore/search?tab=default_tab&amp;search_scope=EVERYTHING&amp;vid=01CRU&amp;lang=en_US&amp;offset=0&amp;query=any,contains,991001647339702656","Catalog Record")</f>
        <v/>
      </c>
      <c r="AV560">
        <f>HYPERLINK("http://www.worldcat.org/oclc/22733749","WorldCat Record")</f>
        <v/>
      </c>
      <c r="AW560" t="inlineStr">
        <is>
          <t>836752833:eng</t>
        </is>
      </c>
      <c r="AX560" t="inlineStr">
        <is>
          <t>22733749</t>
        </is>
      </c>
      <c r="AY560" t="inlineStr">
        <is>
          <t>991001647339702656</t>
        </is>
      </c>
      <c r="AZ560" t="inlineStr">
        <is>
          <t>991001647339702656</t>
        </is>
      </c>
      <c r="BA560" t="inlineStr">
        <is>
          <t>2267071110002656</t>
        </is>
      </c>
      <c r="BB560" t="inlineStr">
        <is>
          <t>BOOK</t>
        </is>
      </c>
      <c r="BD560" t="inlineStr">
        <is>
          <t>9780801841651</t>
        </is>
      </c>
      <c r="BE560" t="inlineStr">
        <is>
          <t>30001002240614</t>
        </is>
      </c>
      <c r="BF560" t="inlineStr">
        <is>
          <t>893821358</t>
        </is>
      </c>
    </row>
    <row r="561">
      <c r="A561" t="inlineStr">
        <is>
          <t>No</t>
        </is>
      </c>
      <c r="B561" t="inlineStr">
        <is>
          <t>CUHSL</t>
        </is>
      </c>
      <c r="C561" t="inlineStr">
        <is>
          <t>SHELVES</t>
        </is>
      </c>
      <c r="D561" t="inlineStr">
        <is>
          <t>W50 T759 2002</t>
        </is>
      </c>
      <c r="E561" t="inlineStr">
        <is>
          <t>0                      W  0050000T  759         2002</t>
        </is>
      </c>
      <c r="F561" t="inlineStr">
        <is>
          <t>The tracks we leave : ethics in healthcare management / [edited by] Frankie Perry.</t>
        </is>
      </c>
      <c r="H561" t="inlineStr">
        <is>
          <t>No</t>
        </is>
      </c>
      <c r="I561" t="inlineStr">
        <is>
          <t>1</t>
        </is>
      </c>
      <c r="J561" t="inlineStr">
        <is>
          <t>No</t>
        </is>
      </c>
      <c r="K561" t="inlineStr">
        <is>
          <t>No</t>
        </is>
      </c>
      <c r="L561" t="inlineStr">
        <is>
          <t>1</t>
        </is>
      </c>
      <c r="N561" t="inlineStr">
        <is>
          <t>Chicago, Ill. : Health Administration Press, c2002.</t>
        </is>
      </c>
      <c r="O561" t="inlineStr">
        <is>
          <t>2002</t>
        </is>
      </c>
      <c r="Q561" t="inlineStr">
        <is>
          <t>eng</t>
        </is>
      </c>
      <c r="R561" t="inlineStr">
        <is>
          <t>ilu</t>
        </is>
      </c>
      <c r="T561" t="inlineStr">
        <is>
          <t xml:space="preserve">W  </t>
        </is>
      </c>
      <c r="U561" t="n">
        <v>1</v>
      </c>
      <c r="V561" t="n">
        <v>1</v>
      </c>
      <c r="W561" t="inlineStr">
        <is>
          <t>2007-07-11</t>
        </is>
      </c>
      <c r="X561" t="inlineStr">
        <is>
          <t>2007-07-11</t>
        </is>
      </c>
      <c r="Y561" t="inlineStr">
        <is>
          <t>2004-08-25</t>
        </is>
      </c>
      <c r="Z561" t="inlineStr">
        <is>
          <t>2004-08-25</t>
        </is>
      </c>
      <c r="AA561" t="n">
        <v>160</v>
      </c>
      <c r="AB561" t="n">
        <v>148</v>
      </c>
      <c r="AC561" t="n">
        <v>1416</v>
      </c>
      <c r="AD561" t="n">
        <v>1</v>
      </c>
      <c r="AE561" t="n">
        <v>31</v>
      </c>
      <c r="AF561" t="n">
        <v>7</v>
      </c>
      <c r="AG561" t="n">
        <v>46</v>
      </c>
      <c r="AH561" t="n">
        <v>2</v>
      </c>
      <c r="AI561" t="n">
        <v>13</v>
      </c>
      <c r="AJ561" t="n">
        <v>1</v>
      </c>
      <c r="AK561" t="n">
        <v>8</v>
      </c>
      <c r="AL561" t="n">
        <v>4</v>
      </c>
      <c r="AM561" t="n">
        <v>15</v>
      </c>
      <c r="AN561" t="n">
        <v>0</v>
      </c>
      <c r="AO561" t="n">
        <v>15</v>
      </c>
      <c r="AP561" t="n">
        <v>1</v>
      </c>
      <c r="AQ561" t="n">
        <v>2</v>
      </c>
      <c r="AR561" t="inlineStr">
        <is>
          <t>No</t>
        </is>
      </c>
      <c r="AS561" t="inlineStr">
        <is>
          <t>No</t>
        </is>
      </c>
      <c r="AU561">
        <f>HYPERLINK("https://creighton-primo.hosted.exlibrisgroup.com/primo-explore/search?tab=default_tab&amp;search_scope=EVERYTHING&amp;vid=01CRU&amp;lang=en_US&amp;offset=0&amp;query=any,contains,991000377889702656","Catalog Record")</f>
        <v/>
      </c>
      <c r="AV561">
        <f>HYPERLINK("http://www.worldcat.org/oclc/47141968","WorldCat Record")</f>
        <v/>
      </c>
      <c r="AW561" t="inlineStr">
        <is>
          <t>800183239:eng</t>
        </is>
      </c>
      <c r="AX561" t="inlineStr">
        <is>
          <t>47141968</t>
        </is>
      </c>
      <c r="AY561" t="inlineStr">
        <is>
          <t>991000377889702656</t>
        </is>
      </c>
      <c r="AZ561" t="inlineStr">
        <is>
          <t>991000377889702656</t>
        </is>
      </c>
      <c r="BA561" t="inlineStr">
        <is>
          <t>2264967460002656</t>
        </is>
      </c>
      <c r="BB561" t="inlineStr">
        <is>
          <t>BOOK</t>
        </is>
      </c>
      <c r="BD561" t="inlineStr">
        <is>
          <t>9781567931679</t>
        </is>
      </c>
      <c r="BE561" t="inlineStr">
        <is>
          <t>30001004922144</t>
        </is>
      </c>
      <c r="BF561" t="inlineStr">
        <is>
          <t>893279966</t>
        </is>
      </c>
    </row>
    <row r="562">
      <c r="A562" t="inlineStr">
        <is>
          <t>No</t>
        </is>
      </c>
      <c r="B562" t="inlineStr">
        <is>
          <t>CUHSL</t>
        </is>
      </c>
      <c r="C562" t="inlineStr">
        <is>
          <t>SHELVES</t>
        </is>
      </c>
      <c r="D562" t="inlineStr">
        <is>
          <t>W 50 V394b 2003</t>
        </is>
      </c>
      <c r="E562" t="inlineStr">
        <is>
          <t>0                      W  0050000V  394b        2003</t>
        </is>
      </c>
      <c r="F562" t="inlineStr">
        <is>
          <t>The basics of bioethics / Robert M. Veatch.</t>
        </is>
      </c>
      <c r="H562" t="inlineStr">
        <is>
          <t>No</t>
        </is>
      </c>
      <c r="I562" t="inlineStr">
        <is>
          <t>1</t>
        </is>
      </c>
      <c r="J562" t="inlineStr">
        <is>
          <t>No</t>
        </is>
      </c>
      <c r="K562" t="inlineStr">
        <is>
          <t>No</t>
        </is>
      </c>
      <c r="L562" t="inlineStr">
        <is>
          <t>0</t>
        </is>
      </c>
      <c r="M562" t="inlineStr">
        <is>
          <t>Veatch, Robert M.</t>
        </is>
      </c>
      <c r="N562" t="inlineStr">
        <is>
          <t>Upper Saddle River, N.J. : Prentice Hall, c2003.</t>
        </is>
      </c>
      <c r="O562" t="inlineStr">
        <is>
          <t>2003</t>
        </is>
      </c>
      <c r="P562" t="inlineStr">
        <is>
          <t>2nd ed.</t>
        </is>
      </c>
      <c r="Q562" t="inlineStr">
        <is>
          <t>eng</t>
        </is>
      </c>
      <c r="R562" t="inlineStr">
        <is>
          <t>nju</t>
        </is>
      </c>
      <c r="T562" t="inlineStr">
        <is>
          <t xml:space="preserve">W  </t>
        </is>
      </c>
      <c r="U562" t="n">
        <v>1</v>
      </c>
      <c r="V562" t="n">
        <v>1</v>
      </c>
      <c r="W562" t="inlineStr">
        <is>
          <t>2005-10-21</t>
        </is>
      </c>
      <c r="X562" t="inlineStr">
        <is>
          <t>2005-10-21</t>
        </is>
      </c>
      <c r="Y562" t="inlineStr">
        <is>
          <t>2003-01-10</t>
        </is>
      </c>
      <c r="Z562" t="inlineStr">
        <is>
          <t>2003-01-10</t>
        </is>
      </c>
      <c r="AA562" t="n">
        <v>256</v>
      </c>
      <c r="AB562" t="n">
        <v>188</v>
      </c>
      <c r="AC562" t="n">
        <v>412</v>
      </c>
      <c r="AD562" t="n">
        <v>2</v>
      </c>
      <c r="AE562" t="n">
        <v>3</v>
      </c>
      <c r="AF562" t="n">
        <v>12</v>
      </c>
      <c r="AG562" t="n">
        <v>21</v>
      </c>
      <c r="AH562" t="n">
        <v>4</v>
      </c>
      <c r="AI562" t="n">
        <v>9</v>
      </c>
      <c r="AJ562" t="n">
        <v>4</v>
      </c>
      <c r="AK562" t="n">
        <v>5</v>
      </c>
      <c r="AL562" t="n">
        <v>9</v>
      </c>
      <c r="AM562" t="n">
        <v>14</v>
      </c>
      <c r="AN562" t="n">
        <v>1</v>
      </c>
      <c r="AO562" t="n">
        <v>2</v>
      </c>
      <c r="AP562" t="n">
        <v>0</v>
      </c>
      <c r="AQ562" t="n">
        <v>0</v>
      </c>
      <c r="AR562" t="inlineStr">
        <is>
          <t>No</t>
        </is>
      </c>
      <c r="AS562" t="inlineStr">
        <is>
          <t>Yes</t>
        </is>
      </c>
      <c r="AT562">
        <f>HYPERLINK("http://catalog.hathitrust.org/Record/003799530","HathiTrust Record")</f>
        <v/>
      </c>
      <c r="AU562">
        <f>HYPERLINK("https://creighton-primo.hosted.exlibrisgroup.com/primo-explore/search?tab=default_tab&amp;search_scope=EVERYTHING&amp;vid=01CRU&amp;lang=en_US&amp;offset=0&amp;query=any,contains,991001718919702656","Catalog Record")</f>
        <v/>
      </c>
      <c r="AV562">
        <f>HYPERLINK("http://www.worldcat.org/oclc/49699433","WorldCat Record")</f>
        <v/>
      </c>
      <c r="AW562" t="inlineStr">
        <is>
          <t>984375:eng</t>
        </is>
      </c>
      <c r="AX562" t="inlineStr">
        <is>
          <t>49699433</t>
        </is>
      </c>
      <c r="AY562" t="inlineStr">
        <is>
          <t>991001718919702656</t>
        </is>
      </c>
      <c r="AZ562" t="inlineStr">
        <is>
          <t>991001718919702656</t>
        </is>
      </c>
      <c r="BA562" t="inlineStr">
        <is>
          <t>22101747270002656</t>
        </is>
      </c>
      <c r="BB562" t="inlineStr">
        <is>
          <t>BOOK</t>
        </is>
      </c>
      <c r="BD562" t="inlineStr">
        <is>
          <t>9780130991614</t>
        </is>
      </c>
      <c r="BE562" t="inlineStr">
        <is>
          <t>30001004501112</t>
        </is>
      </c>
      <c r="BF562" t="inlineStr">
        <is>
          <t>893732202</t>
        </is>
      </c>
    </row>
    <row r="563">
      <c r="A563" t="inlineStr">
        <is>
          <t>No</t>
        </is>
      </c>
      <c r="B563" t="inlineStr">
        <is>
          <t>CUHSL</t>
        </is>
      </c>
      <c r="C563" t="inlineStr">
        <is>
          <t>SHELVES</t>
        </is>
      </c>
      <c r="D563" t="inlineStr">
        <is>
          <t>W 50 V394d 1989</t>
        </is>
      </c>
      <c r="E563" t="inlineStr">
        <is>
          <t>0                      W  0050000V  394d        1989</t>
        </is>
      </c>
      <c r="F563" t="inlineStr">
        <is>
          <t>Death, dying, and the biological revolution : our last quest for responsibility / Robert M. Veatch.</t>
        </is>
      </c>
      <c r="H563" t="inlineStr">
        <is>
          <t>No</t>
        </is>
      </c>
      <c r="I563" t="inlineStr">
        <is>
          <t>1</t>
        </is>
      </c>
      <c r="J563" t="inlineStr">
        <is>
          <t>No</t>
        </is>
      </c>
      <c r="K563" t="inlineStr">
        <is>
          <t>Yes</t>
        </is>
      </c>
      <c r="L563" t="inlineStr">
        <is>
          <t>0</t>
        </is>
      </c>
      <c r="M563" t="inlineStr">
        <is>
          <t>Veatch, Robert M.</t>
        </is>
      </c>
      <c r="N563" t="inlineStr">
        <is>
          <t>New Haven : Yale University Press, c1989.</t>
        </is>
      </c>
      <c r="O563" t="inlineStr">
        <is>
          <t>1989</t>
        </is>
      </c>
      <c r="P563" t="inlineStr">
        <is>
          <t>Rev. ed.</t>
        </is>
      </c>
      <c r="Q563" t="inlineStr">
        <is>
          <t>eng</t>
        </is>
      </c>
      <c r="R563" t="inlineStr">
        <is>
          <t>ctu</t>
        </is>
      </c>
      <c r="T563" t="inlineStr">
        <is>
          <t xml:space="preserve">W  </t>
        </is>
      </c>
      <c r="U563" t="n">
        <v>25</v>
      </c>
      <c r="V563" t="n">
        <v>25</v>
      </c>
      <c r="W563" t="inlineStr">
        <is>
          <t>2001-04-05</t>
        </is>
      </c>
      <c r="X563" t="inlineStr">
        <is>
          <t>2001-04-05</t>
        </is>
      </c>
      <c r="Y563" t="inlineStr">
        <is>
          <t>1990-07-16</t>
        </is>
      </c>
      <c r="Z563" t="inlineStr">
        <is>
          <t>1990-07-16</t>
        </is>
      </c>
      <c r="AA563" t="n">
        <v>497</v>
      </c>
      <c r="AB563" t="n">
        <v>412</v>
      </c>
      <c r="AC563" t="n">
        <v>1468</v>
      </c>
      <c r="AD563" t="n">
        <v>2</v>
      </c>
      <c r="AE563" t="n">
        <v>11</v>
      </c>
      <c r="AF563" t="n">
        <v>34</v>
      </c>
      <c r="AG563" t="n">
        <v>64</v>
      </c>
      <c r="AH563" t="n">
        <v>9</v>
      </c>
      <c r="AI563" t="n">
        <v>18</v>
      </c>
      <c r="AJ563" t="n">
        <v>4</v>
      </c>
      <c r="AK563" t="n">
        <v>9</v>
      </c>
      <c r="AL563" t="n">
        <v>16</v>
      </c>
      <c r="AM563" t="n">
        <v>25</v>
      </c>
      <c r="AN563" t="n">
        <v>1</v>
      </c>
      <c r="AO563" t="n">
        <v>6</v>
      </c>
      <c r="AP563" t="n">
        <v>11</v>
      </c>
      <c r="AQ563" t="n">
        <v>17</v>
      </c>
      <c r="AR563" t="inlineStr">
        <is>
          <t>No</t>
        </is>
      </c>
      <c r="AS563" t="inlineStr">
        <is>
          <t>No</t>
        </is>
      </c>
      <c r="AU563">
        <f>HYPERLINK("https://creighton-primo.hosted.exlibrisgroup.com/primo-explore/search?tab=default_tab&amp;search_scope=EVERYTHING&amp;vid=01CRU&amp;lang=en_US&amp;offset=0&amp;query=any,contains,991001449969702656","Catalog Record")</f>
        <v/>
      </c>
      <c r="AV563">
        <f>HYPERLINK("http://www.worldcat.org/oclc/18946283","WorldCat Record")</f>
        <v/>
      </c>
      <c r="AW563" t="inlineStr">
        <is>
          <t>181004120:eng</t>
        </is>
      </c>
      <c r="AX563" t="inlineStr">
        <is>
          <t>18946283</t>
        </is>
      </c>
      <c r="AY563" t="inlineStr">
        <is>
          <t>991001449969702656</t>
        </is>
      </c>
      <c r="AZ563" t="inlineStr">
        <is>
          <t>991001449969702656</t>
        </is>
      </c>
      <c r="BA563" t="inlineStr">
        <is>
          <t>2271211450002656</t>
        </is>
      </c>
      <c r="BB563" t="inlineStr">
        <is>
          <t>BOOK</t>
        </is>
      </c>
      <c r="BD563" t="inlineStr">
        <is>
          <t>9780300043655</t>
        </is>
      </c>
      <c r="BE563" t="inlineStr">
        <is>
          <t>30001001882630</t>
        </is>
      </c>
      <c r="BF563" t="inlineStr">
        <is>
          <t>893732038</t>
        </is>
      </c>
    </row>
    <row r="564">
      <c r="A564" t="inlineStr">
        <is>
          <t>No</t>
        </is>
      </c>
      <c r="B564" t="inlineStr">
        <is>
          <t>CUHSL</t>
        </is>
      </c>
      <c r="C564" t="inlineStr">
        <is>
          <t>SHELVES</t>
        </is>
      </c>
      <c r="D564" t="inlineStr">
        <is>
          <t>W50 V394da 2005</t>
        </is>
      </c>
      <c r="E564" t="inlineStr">
        <is>
          <t>0                      W  0050000V  394da       2005</t>
        </is>
      </c>
      <c r="F564" t="inlineStr">
        <is>
          <t>Disrupted dialogue : medical ethics and the collapse of physician-humanist communication (1770-1980) / Robert M. Veatch.</t>
        </is>
      </c>
      <c r="H564" t="inlineStr">
        <is>
          <t>No</t>
        </is>
      </c>
      <c r="I564" t="inlineStr">
        <is>
          <t>1</t>
        </is>
      </c>
      <c r="J564" t="inlineStr">
        <is>
          <t>No</t>
        </is>
      </c>
      <c r="K564" t="inlineStr">
        <is>
          <t>No</t>
        </is>
      </c>
      <c r="L564" t="inlineStr">
        <is>
          <t>1</t>
        </is>
      </c>
      <c r="M564" t="inlineStr">
        <is>
          <t>Veatch, Robert M.</t>
        </is>
      </c>
      <c r="N564" t="inlineStr">
        <is>
          <t>Oxford ; New York : Oxford University Press, 2005.</t>
        </is>
      </c>
      <c r="O564" t="inlineStr">
        <is>
          <t>2005</t>
        </is>
      </c>
      <c r="Q564" t="inlineStr">
        <is>
          <t>eng</t>
        </is>
      </c>
      <c r="R564" t="inlineStr">
        <is>
          <t>enk</t>
        </is>
      </c>
      <c r="T564" t="inlineStr">
        <is>
          <t xml:space="preserve">W  </t>
        </is>
      </c>
      <c r="U564" t="n">
        <v>0</v>
      </c>
      <c r="V564" t="n">
        <v>0</v>
      </c>
      <c r="W564" t="inlineStr">
        <is>
          <t>2005-01-28</t>
        </is>
      </c>
      <c r="X564" t="inlineStr">
        <is>
          <t>2005-01-28</t>
        </is>
      </c>
      <c r="Y564" t="inlineStr">
        <is>
          <t>2005-01-27</t>
        </is>
      </c>
      <c r="Z564" t="inlineStr">
        <is>
          <t>2005-01-27</t>
        </is>
      </c>
      <c r="AA564" t="n">
        <v>265</v>
      </c>
      <c r="AB564" t="n">
        <v>215</v>
      </c>
      <c r="AC564" t="n">
        <v>1214</v>
      </c>
      <c r="AD564" t="n">
        <v>2</v>
      </c>
      <c r="AE564" t="n">
        <v>18</v>
      </c>
      <c r="AF564" t="n">
        <v>12</v>
      </c>
      <c r="AG564" t="n">
        <v>50</v>
      </c>
      <c r="AH564" t="n">
        <v>2</v>
      </c>
      <c r="AI564" t="n">
        <v>14</v>
      </c>
      <c r="AJ564" t="n">
        <v>2</v>
      </c>
      <c r="AK564" t="n">
        <v>10</v>
      </c>
      <c r="AL564" t="n">
        <v>9</v>
      </c>
      <c r="AM564" t="n">
        <v>18</v>
      </c>
      <c r="AN564" t="n">
        <v>1</v>
      </c>
      <c r="AO564" t="n">
        <v>14</v>
      </c>
      <c r="AP564" t="n">
        <v>1</v>
      </c>
      <c r="AQ564" t="n">
        <v>3</v>
      </c>
      <c r="AR564" t="inlineStr">
        <is>
          <t>No</t>
        </is>
      </c>
      <c r="AS564" t="inlineStr">
        <is>
          <t>Yes</t>
        </is>
      </c>
      <c r="AT564">
        <f>HYPERLINK("http://catalog.hathitrust.org/Record/004920680","HathiTrust Record")</f>
        <v/>
      </c>
      <c r="AU564">
        <f>HYPERLINK("https://creighton-primo.hosted.exlibrisgroup.com/primo-explore/search?tab=default_tab&amp;search_scope=EVERYTHING&amp;vid=01CRU&amp;lang=en_US&amp;offset=0&amp;query=any,contains,991000425049702656","Catalog Record")</f>
        <v/>
      </c>
      <c r="AV564">
        <f>HYPERLINK("http://www.worldcat.org/oclc/55036946","WorldCat Record")</f>
        <v/>
      </c>
      <c r="AW564" t="inlineStr">
        <is>
          <t>802034622:eng</t>
        </is>
      </c>
      <c r="AX564" t="inlineStr">
        <is>
          <t>55036946</t>
        </is>
      </c>
      <c r="AY564" t="inlineStr">
        <is>
          <t>991000425049702656</t>
        </is>
      </c>
      <c r="AZ564" t="inlineStr">
        <is>
          <t>991000425049702656</t>
        </is>
      </c>
      <c r="BA564" t="inlineStr">
        <is>
          <t>2271206810002656</t>
        </is>
      </c>
      <c r="BB564" t="inlineStr">
        <is>
          <t>BOOK</t>
        </is>
      </c>
      <c r="BD564" t="inlineStr">
        <is>
          <t>9780195169768</t>
        </is>
      </c>
      <c r="BE564" t="inlineStr">
        <is>
          <t>30001004927069</t>
        </is>
      </c>
      <c r="BF564" t="inlineStr">
        <is>
          <t>893109534</t>
        </is>
      </c>
    </row>
    <row r="565">
      <c r="A565" t="inlineStr">
        <is>
          <t>No</t>
        </is>
      </c>
      <c r="B565" t="inlineStr">
        <is>
          <t>CUHSL</t>
        </is>
      </c>
      <c r="C565" t="inlineStr">
        <is>
          <t>SHELVES</t>
        </is>
      </c>
      <c r="D565" t="inlineStr">
        <is>
          <t>W 50 V395p 1991 pt.2</t>
        </is>
      </c>
      <c r="E565" t="inlineStr">
        <is>
          <t>0                      W  0050000V  395p        1991                                        pt.2</t>
        </is>
      </c>
      <c r="F565" t="inlineStr">
        <is>
          <t>The patient-physician relation : the patient as partner, part 2 / Robert M. Veatch.</t>
        </is>
      </c>
      <c r="G565" t="inlineStr">
        <is>
          <t>pt.2*</t>
        </is>
      </c>
      <c r="H565" t="inlineStr">
        <is>
          <t>No</t>
        </is>
      </c>
      <c r="I565" t="inlineStr">
        <is>
          <t>1</t>
        </is>
      </c>
      <c r="J565" t="inlineStr">
        <is>
          <t>No</t>
        </is>
      </c>
      <c r="K565" t="inlineStr">
        <is>
          <t>No</t>
        </is>
      </c>
      <c r="L565" t="inlineStr">
        <is>
          <t>1</t>
        </is>
      </c>
      <c r="M565" t="inlineStr">
        <is>
          <t>Veatch, Robert M.</t>
        </is>
      </c>
      <c r="N565" t="inlineStr">
        <is>
          <t>Bloomington : Indiana University Press, c1991.</t>
        </is>
      </c>
      <c r="O565" t="inlineStr">
        <is>
          <t>1991</t>
        </is>
      </c>
      <c r="Q565" t="inlineStr">
        <is>
          <t>eng</t>
        </is>
      </c>
      <c r="R565" t="inlineStr">
        <is>
          <t>xxu</t>
        </is>
      </c>
      <c r="S565" t="inlineStr">
        <is>
          <t>Medical ethics series</t>
        </is>
      </c>
      <c r="T565" t="inlineStr">
        <is>
          <t xml:space="preserve">W  </t>
        </is>
      </c>
      <c r="U565" t="n">
        <v>6</v>
      </c>
      <c r="V565" t="n">
        <v>6</v>
      </c>
      <c r="W565" t="inlineStr">
        <is>
          <t>1999-05-04</t>
        </is>
      </c>
      <c r="X565" t="inlineStr">
        <is>
          <t>1999-05-04</t>
        </is>
      </c>
      <c r="Y565" t="inlineStr">
        <is>
          <t>1991-03-11</t>
        </is>
      </c>
      <c r="Z565" t="inlineStr">
        <is>
          <t>1991-03-11</t>
        </is>
      </c>
      <c r="AA565" t="n">
        <v>377</v>
      </c>
      <c r="AB565" t="n">
        <v>331</v>
      </c>
      <c r="AC565" t="n">
        <v>1227</v>
      </c>
      <c r="AD565" t="n">
        <v>1</v>
      </c>
      <c r="AE565" t="n">
        <v>15</v>
      </c>
      <c r="AF565" t="n">
        <v>19</v>
      </c>
      <c r="AG565" t="n">
        <v>45</v>
      </c>
      <c r="AH565" t="n">
        <v>8</v>
      </c>
      <c r="AI565" t="n">
        <v>16</v>
      </c>
      <c r="AJ565" t="n">
        <v>5</v>
      </c>
      <c r="AK565" t="n">
        <v>7</v>
      </c>
      <c r="AL565" t="n">
        <v>14</v>
      </c>
      <c r="AM565" t="n">
        <v>18</v>
      </c>
      <c r="AN565" t="n">
        <v>0</v>
      </c>
      <c r="AO565" t="n">
        <v>12</v>
      </c>
      <c r="AP565" t="n">
        <v>1</v>
      </c>
      <c r="AQ565" t="n">
        <v>2</v>
      </c>
      <c r="AR565" t="inlineStr">
        <is>
          <t>No</t>
        </is>
      </c>
      <c r="AS565" t="inlineStr">
        <is>
          <t>No</t>
        </is>
      </c>
      <c r="AU565">
        <f>HYPERLINK("https://creighton-primo.hosted.exlibrisgroup.com/primo-explore/search?tab=default_tab&amp;search_scope=EVERYTHING&amp;vid=01CRU&amp;lang=en_US&amp;offset=0&amp;query=any,contains,991000825799702656","Catalog Record")</f>
        <v/>
      </c>
      <c r="AV565">
        <f>HYPERLINK("http://www.worldcat.org/oclc/21294846","WorldCat Record")</f>
        <v/>
      </c>
      <c r="AW565" t="inlineStr">
        <is>
          <t>797127068:eng</t>
        </is>
      </c>
      <c r="AX565" t="inlineStr">
        <is>
          <t>21294846</t>
        </is>
      </c>
      <c r="AY565" t="inlineStr">
        <is>
          <t>991000825799702656</t>
        </is>
      </c>
      <c r="AZ565" t="inlineStr">
        <is>
          <t>991000825799702656</t>
        </is>
      </c>
      <c r="BA565" t="inlineStr">
        <is>
          <t>2271067020002656</t>
        </is>
      </c>
      <c r="BB565" t="inlineStr">
        <is>
          <t>BOOK</t>
        </is>
      </c>
      <c r="BD565" t="inlineStr">
        <is>
          <t>9780253362070</t>
        </is>
      </c>
      <c r="BE565" t="inlineStr">
        <is>
          <t>30001002088591</t>
        </is>
      </c>
      <c r="BF565" t="inlineStr">
        <is>
          <t>893740376</t>
        </is>
      </c>
    </row>
    <row r="566">
      <c r="A566" t="inlineStr">
        <is>
          <t>No</t>
        </is>
      </c>
      <c r="B566" t="inlineStr">
        <is>
          <t>CUHSL</t>
        </is>
      </c>
      <c r="C566" t="inlineStr">
        <is>
          <t>SHELVES</t>
        </is>
      </c>
      <c r="D566" t="inlineStr">
        <is>
          <t>W 50 W239e 1983</t>
        </is>
      </c>
      <c r="E566" t="inlineStr">
        <is>
          <t>0                      W  0050000W  239e        1983</t>
        </is>
      </c>
      <c r="F566" t="inlineStr">
        <is>
          <t>Ethics of withdrawal of life-support systems : case studies on decision-making in intensive care / Douglas N. Walton.</t>
        </is>
      </c>
      <c r="H566" t="inlineStr">
        <is>
          <t>No</t>
        </is>
      </c>
      <c r="I566" t="inlineStr">
        <is>
          <t>1</t>
        </is>
      </c>
      <c r="J566" t="inlineStr">
        <is>
          <t>Yes</t>
        </is>
      </c>
      <c r="K566" t="inlineStr">
        <is>
          <t>No</t>
        </is>
      </c>
      <c r="L566" t="inlineStr">
        <is>
          <t>0</t>
        </is>
      </c>
      <c r="M566" t="inlineStr">
        <is>
          <t>Walton, Douglas N.</t>
        </is>
      </c>
      <c r="N566" t="inlineStr">
        <is>
          <t>Westport, Conn. : Greenwood Press, c1983.</t>
        </is>
      </c>
      <c r="O566" t="inlineStr">
        <is>
          <t>1983</t>
        </is>
      </c>
      <c r="Q566" t="inlineStr">
        <is>
          <t>eng</t>
        </is>
      </c>
      <c r="R566" t="inlineStr">
        <is>
          <t>xxu</t>
        </is>
      </c>
      <c r="S566" t="inlineStr">
        <is>
          <t>Contributions in philosophy, ISSN 0084-926X ; no.23</t>
        </is>
      </c>
      <c r="T566" t="inlineStr">
        <is>
          <t xml:space="preserve">W  </t>
        </is>
      </c>
      <c r="U566" t="n">
        <v>26</v>
      </c>
      <c r="V566" t="n">
        <v>26</v>
      </c>
      <c r="W566" t="inlineStr">
        <is>
          <t>1999-05-01</t>
        </is>
      </c>
      <c r="X566" t="inlineStr">
        <is>
          <t>1999-05-01</t>
        </is>
      </c>
      <c r="Y566" t="inlineStr">
        <is>
          <t>1987-12-19</t>
        </is>
      </c>
      <c r="Z566" t="inlineStr">
        <is>
          <t>1987-12-19</t>
        </is>
      </c>
      <c r="AA566" t="n">
        <v>679</v>
      </c>
      <c r="AB566" t="n">
        <v>609</v>
      </c>
      <c r="AC566" t="n">
        <v>714</v>
      </c>
      <c r="AD566" t="n">
        <v>7</v>
      </c>
      <c r="AE566" t="n">
        <v>8</v>
      </c>
      <c r="AF566" t="n">
        <v>42</v>
      </c>
      <c r="AG566" t="n">
        <v>47</v>
      </c>
      <c r="AH566" t="n">
        <v>10</v>
      </c>
      <c r="AI566" t="n">
        <v>11</v>
      </c>
      <c r="AJ566" t="n">
        <v>6</v>
      </c>
      <c r="AK566" t="n">
        <v>7</v>
      </c>
      <c r="AL566" t="n">
        <v>16</v>
      </c>
      <c r="AM566" t="n">
        <v>17</v>
      </c>
      <c r="AN566" t="n">
        <v>4</v>
      </c>
      <c r="AO566" t="n">
        <v>5</v>
      </c>
      <c r="AP566" t="n">
        <v>13</v>
      </c>
      <c r="AQ566" t="n">
        <v>15</v>
      </c>
      <c r="AR566" t="inlineStr">
        <is>
          <t>No</t>
        </is>
      </c>
      <c r="AS566" t="inlineStr">
        <is>
          <t>Yes</t>
        </is>
      </c>
      <c r="AT566">
        <f>HYPERLINK("http://catalog.hathitrust.org/Record/000116780","HathiTrust Record")</f>
        <v/>
      </c>
      <c r="AU566">
        <f>HYPERLINK("https://creighton-primo.hosted.exlibrisgroup.com/primo-explore/search?tab=default_tab&amp;search_scope=EVERYTHING&amp;vid=01CRU&amp;lang=en_US&amp;offset=0&amp;query=any,contains,991001468289702656","Catalog Record")</f>
        <v/>
      </c>
      <c r="AV566">
        <f>HYPERLINK("http://www.worldcat.org/oclc/8805498","WorldCat Record")</f>
        <v/>
      </c>
      <c r="AW566" t="inlineStr">
        <is>
          <t>2563614:eng</t>
        </is>
      </c>
      <c r="AX566" t="inlineStr">
        <is>
          <t>8805498</t>
        </is>
      </c>
      <c r="AY566" t="inlineStr">
        <is>
          <t>991001468289702656</t>
        </is>
      </c>
      <c r="AZ566" t="inlineStr">
        <is>
          <t>991001468289702656</t>
        </is>
      </c>
      <c r="BA566" t="inlineStr">
        <is>
          <t>2267837970002656</t>
        </is>
      </c>
      <c r="BB566" t="inlineStr">
        <is>
          <t>BOOK</t>
        </is>
      </c>
      <c r="BD566" t="inlineStr">
        <is>
          <t>9780313237522</t>
        </is>
      </c>
      <c r="BE566" t="inlineStr">
        <is>
          <t>30001000558264</t>
        </is>
      </c>
      <c r="BF566" t="inlineStr">
        <is>
          <t>893121523</t>
        </is>
      </c>
    </row>
    <row r="567">
      <c r="A567" t="inlineStr">
        <is>
          <t>No</t>
        </is>
      </c>
      <c r="B567" t="inlineStr">
        <is>
          <t>CUHSL</t>
        </is>
      </c>
      <c r="C567" t="inlineStr">
        <is>
          <t>SHELVES</t>
        </is>
      </c>
      <c r="D567" t="inlineStr">
        <is>
          <t>W 50 W476t 1989</t>
        </is>
      </c>
      <c r="E567" t="inlineStr">
        <is>
          <t>0                      W  0050000W  476t        1989</t>
        </is>
      </c>
      <c r="F567" t="inlineStr">
        <is>
          <t>Terminal choices : euthanasia, suicide, and the right to die / by Robert N. Wennberg.</t>
        </is>
      </c>
      <c r="H567" t="inlineStr">
        <is>
          <t>No</t>
        </is>
      </c>
      <c r="I567" t="inlineStr">
        <is>
          <t>1</t>
        </is>
      </c>
      <c r="J567" t="inlineStr">
        <is>
          <t>Yes</t>
        </is>
      </c>
      <c r="K567" t="inlineStr">
        <is>
          <t>No</t>
        </is>
      </c>
      <c r="L567" t="inlineStr">
        <is>
          <t>0</t>
        </is>
      </c>
      <c r="M567" t="inlineStr">
        <is>
          <t>Wennberg, Robert N.</t>
        </is>
      </c>
      <c r="N567" t="inlineStr">
        <is>
          <t>Grand Rapids, Mich. : W.B. Eerdmans Pub. Co. ; Exeter, UK : Paternoster Press, c1989.</t>
        </is>
      </c>
      <c r="O567" t="inlineStr">
        <is>
          <t>1989</t>
        </is>
      </c>
      <c r="Q567" t="inlineStr">
        <is>
          <t>eng</t>
        </is>
      </c>
      <c r="R567" t="inlineStr">
        <is>
          <t>miu</t>
        </is>
      </c>
      <c r="T567" t="inlineStr">
        <is>
          <t xml:space="preserve">W  </t>
        </is>
      </c>
      <c r="U567" t="n">
        <v>40</v>
      </c>
      <c r="V567" t="n">
        <v>46</v>
      </c>
      <c r="W567" t="inlineStr">
        <is>
          <t>2000-10-28</t>
        </is>
      </c>
      <c r="X567" t="inlineStr">
        <is>
          <t>2000-10-28</t>
        </is>
      </c>
      <c r="Y567" t="inlineStr">
        <is>
          <t>1990-05-23</t>
        </is>
      </c>
      <c r="Z567" t="inlineStr">
        <is>
          <t>1992-03-14</t>
        </is>
      </c>
      <c r="AA567" t="n">
        <v>1088</v>
      </c>
      <c r="AB567" t="n">
        <v>969</v>
      </c>
      <c r="AC567" t="n">
        <v>978</v>
      </c>
      <c r="AD567" t="n">
        <v>11</v>
      </c>
      <c r="AE567" t="n">
        <v>11</v>
      </c>
      <c r="AF567" t="n">
        <v>28</v>
      </c>
      <c r="AG567" t="n">
        <v>28</v>
      </c>
      <c r="AH567" t="n">
        <v>8</v>
      </c>
      <c r="AI567" t="n">
        <v>8</v>
      </c>
      <c r="AJ567" t="n">
        <v>4</v>
      </c>
      <c r="AK567" t="n">
        <v>4</v>
      </c>
      <c r="AL567" t="n">
        <v>15</v>
      </c>
      <c r="AM567" t="n">
        <v>15</v>
      </c>
      <c r="AN567" t="n">
        <v>3</v>
      </c>
      <c r="AO567" t="n">
        <v>3</v>
      </c>
      <c r="AP567" t="n">
        <v>3</v>
      </c>
      <c r="AQ567" t="n">
        <v>3</v>
      </c>
      <c r="AR567" t="inlineStr">
        <is>
          <t>No</t>
        </is>
      </c>
      <c r="AS567" t="inlineStr">
        <is>
          <t>No</t>
        </is>
      </c>
      <c r="AU567">
        <f>HYPERLINK("https://creighton-primo.hosted.exlibrisgroup.com/primo-explore/search?tab=default_tab&amp;search_scope=EVERYTHING&amp;vid=01CRU&amp;lang=en_US&amp;offset=0&amp;query=any,contains,991001642319702656","Catalog Record")</f>
        <v/>
      </c>
      <c r="AV567">
        <f>HYPERLINK("http://www.worldcat.org/oclc/20295980","WorldCat Record")</f>
        <v/>
      </c>
      <c r="AW567" t="inlineStr">
        <is>
          <t>796893202:eng</t>
        </is>
      </c>
      <c r="AX567" t="inlineStr">
        <is>
          <t>20295980</t>
        </is>
      </c>
      <c r="AY567" t="inlineStr">
        <is>
          <t>991001642319702656</t>
        </is>
      </c>
      <c r="AZ567" t="inlineStr">
        <is>
          <t>991001642319702656</t>
        </is>
      </c>
      <c r="BA567" t="inlineStr">
        <is>
          <t>2260688530002656</t>
        </is>
      </c>
      <c r="BB567" t="inlineStr">
        <is>
          <t>BOOK</t>
        </is>
      </c>
      <c r="BD567" t="inlineStr">
        <is>
          <t>9780802804549</t>
        </is>
      </c>
      <c r="BE567" t="inlineStr">
        <is>
          <t>30001001798117</t>
        </is>
      </c>
      <c r="BF567" t="inlineStr">
        <is>
          <t>893541540</t>
        </is>
      </c>
    </row>
    <row r="568">
      <c r="A568" t="inlineStr">
        <is>
          <t>No</t>
        </is>
      </c>
      <c r="B568" t="inlineStr">
        <is>
          <t>CUHSL</t>
        </is>
      </c>
      <c r="C568" t="inlineStr">
        <is>
          <t>SHELVES</t>
        </is>
      </c>
      <c r="D568" t="inlineStr">
        <is>
          <t>W 50 W499r 1973</t>
        </is>
      </c>
      <c r="E568" t="inlineStr">
        <is>
          <t>0                      W  0050000W  499r        1973</t>
        </is>
      </c>
      <c r="F568" t="inlineStr">
        <is>
          <t>Readings on ethical and social issues in biomedicine / Richard W. Wertz.</t>
        </is>
      </c>
      <c r="H568" t="inlineStr">
        <is>
          <t>No</t>
        </is>
      </c>
      <c r="I568" t="inlineStr">
        <is>
          <t>1</t>
        </is>
      </c>
      <c r="J568" t="inlineStr">
        <is>
          <t>No</t>
        </is>
      </c>
      <c r="K568" t="inlineStr">
        <is>
          <t>No</t>
        </is>
      </c>
      <c r="L568" t="inlineStr">
        <is>
          <t>0</t>
        </is>
      </c>
      <c r="M568" t="inlineStr">
        <is>
          <t>Wertz, Richard W.</t>
        </is>
      </c>
      <c r="N568" t="inlineStr">
        <is>
          <t>Englewood Cliffs, NJ. : Prentice-Hall, c1973.</t>
        </is>
      </c>
      <c r="O568" t="inlineStr">
        <is>
          <t>1973</t>
        </is>
      </c>
      <c r="Q568" t="inlineStr">
        <is>
          <t>eng</t>
        </is>
      </c>
      <c r="R568" t="inlineStr">
        <is>
          <t>nju</t>
        </is>
      </c>
      <c r="T568" t="inlineStr">
        <is>
          <t xml:space="preserve">W  </t>
        </is>
      </c>
      <c r="U568" t="n">
        <v>3</v>
      </c>
      <c r="V568" t="n">
        <v>3</v>
      </c>
      <c r="W568" t="inlineStr">
        <is>
          <t>1998-11-12</t>
        </is>
      </c>
      <c r="X568" t="inlineStr">
        <is>
          <t>1998-11-12</t>
        </is>
      </c>
      <c r="Y568" t="inlineStr">
        <is>
          <t>1989-06-13</t>
        </is>
      </c>
      <c r="Z568" t="inlineStr">
        <is>
          <t>1989-06-13</t>
        </is>
      </c>
      <c r="AA568" t="n">
        <v>518</v>
      </c>
      <c r="AB568" t="n">
        <v>440</v>
      </c>
      <c r="AC568" t="n">
        <v>447</v>
      </c>
      <c r="AD568" t="n">
        <v>1</v>
      </c>
      <c r="AE568" t="n">
        <v>1</v>
      </c>
      <c r="AF568" t="n">
        <v>20</v>
      </c>
      <c r="AG568" t="n">
        <v>20</v>
      </c>
      <c r="AH568" t="n">
        <v>8</v>
      </c>
      <c r="AI568" t="n">
        <v>8</v>
      </c>
      <c r="AJ568" t="n">
        <v>5</v>
      </c>
      <c r="AK568" t="n">
        <v>5</v>
      </c>
      <c r="AL568" t="n">
        <v>12</v>
      </c>
      <c r="AM568" t="n">
        <v>12</v>
      </c>
      <c r="AN568" t="n">
        <v>0</v>
      </c>
      <c r="AO568" t="n">
        <v>0</v>
      </c>
      <c r="AP568" t="n">
        <v>0</v>
      </c>
      <c r="AQ568" t="n">
        <v>0</v>
      </c>
      <c r="AR568" t="inlineStr">
        <is>
          <t>No</t>
        </is>
      </c>
      <c r="AS568" t="inlineStr">
        <is>
          <t>Yes</t>
        </is>
      </c>
      <c r="AT568">
        <f>HYPERLINK("http://catalog.hathitrust.org/Record/000009334","HathiTrust Record")</f>
        <v/>
      </c>
      <c r="AU568">
        <f>HYPERLINK("https://creighton-primo.hosted.exlibrisgroup.com/primo-explore/search?tab=default_tab&amp;search_scope=EVERYTHING&amp;vid=01CRU&amp;lang=en_US&amp;offset=0&amp;query=any,contains,991001541329702656","Catalog Record")</f>
        <v/>
      </c>
      <c r="AV568">
        <f>HYPERLINK("http://www.worldcat.org/oclc/665870","WorldCat Record")</f>
        <v/>
      </c>
      <c r="AW568" t="inlineStr">
        <is>
          <t>1673401:eng</t>
        </is>
      </c>
      <c r="AX568" t="inlineStr">
        <is>
          <t>665870</t>
        </is>
      </c>
      <c r="AY568" t="inlineStr">
        <is>
          <t>991001541329702656</t>
        </is>
      </c>
      <c r="AZ568" t="inlineStr">
        <is>
          <t>991001541329702656</t>
        </is>
      </c>
      <c r="BA568" t="inlineStr">
        <is>
          <t>2272560360002656</t>
        </is>
      </c>
      <c r="BB568" t="inlineStr">
        <is>
          <t>BOOK</t>
        </is>
      </c>
      <c r="BD568" t="inlineStr">
        <is>
          <t>9780137558926</t>
        </is>
      </c>
      <c r="BE568" t="inlineStr">
        <is>
          <t>30001000635492</t>
        </is>
      </c>
      <c r="BF568" t="inlineStr">
        <is>
          <t>893741237</t>
        </is>
      </c>
    </row>
    <row r="569">
      <c r="A569" t="inlineStr">
        <is>
          <t>No</t>
        </is>
      </c>
      <c r="B569" t="inlineStr">
        <is>
          <t>CUHSL</t>
        </is>
      </c>
      <c r="C569" t="inlineStr">
        <is>
          <t>SHELVES</t>
        </is>
      </c>
      <c r="D569" t="inlineStr">
        <is>
          <t>W 50 W567 1992</t>
        </is>
      </c>
      <c r="E569" t="inlineStr">
        <is>
          <t>0                      W  0050000W  567         1992</t>
        </is>
      </c>
      <c r="F569" t="inlineStr">
        <is>
          <t>When medicine went mad : bioethics and the Holocaust / edited by Arthur L. Caplan.</t>
        </is>
      </c>
      <c r="H569" t="inlineStr">
        <is>
          <t>No</t>
        </is>
      </c>
      <c r="I569" t="inlineStr">
        <is>
          <t>1</t>
        </is>
      </c>
      <c r="J569" t="inlineStr">
        <is>
          <t>No</t>
        </is>
      </c>
      <c r="K569" t="inlineStr">
        <is>
          <t>No</t>
        </is>
      </c>
      <c r="L569" t="inlineStr">
        <is>
          <t>0</t>
        </is>
      </c>
      <c r="N569" t="inlineStr">
        <is>
          <t>Totowa, N.J. : Humana Press, c1992.</t>
        </is>
      </c>
      <c r="O569" t="inlineStr">
        <is>
          <t>1992</t>
        </is>
      </c>
      <c r="Q569" t="inlineStr">
        <is>
          <t>eng</t>
        </is>
      </c>
      <c r="R569" t="inlineStr">
        <is>
          <t>nju</t>
        </is>
      </c>
      <c r="S569" t="inlineStr">
        <is>
          <t>Contemporary issues in biomedicine, ethics, and society</t>
        </is>
      </c>
      <c r="T569" t="inlineStr">
        <is>
          <t xml:space="preserve">W  </t>
        </is>
      </c>
      <c r="U569" t="n">
        <v>39</v>
      </c>
      <c r="V569" t="n">
        <v>39</v>
      </c>
      <c r="W569" t="inlineStr">
        <is>
          <t>2007-04-03</t>
        </is>
      </c>
      <c r="X569" t="inlineStr">
        <is>
          <t>2007-04-03</t>
        </is>
      </c>
      <c r="Y569" t="inlineStr">
        <is>
          <t>1992-11-13</t>
        </is>
      </c>
      <c r="Z569" t="inlineStr">
        <is>
          <t>1992-11-13</t>
        </is>
      </c>
      <c r="AA569" t="n">
        <v>786</v>
      </c>
      <c r="AB569" t="n">
        <v>662</v>
      </c>
      <c r="AC569" t="n">
        <v>690</v>
      </c>
      <c r="AD569" t="n">
        <v>4</v>
      </c>
      <c r="AE569" t="n">
        <v>5</v>
      </c>
      <c r="AF569" t="n">
        <v>32</v>
      </c>
      <c r="AG569" t="n">
        <v>34</v>
      </c>
      <c r="AH569" t="n">
        <v>11</v>
      </c>
      <c r="AI569" t="n">
        <v>12</v>
      </c>
      <c r="AJ569" t="n">
        <v>6</v>
      </c>
      <c r="AK569" t="n">
        <v>6</v>
      </c>
      <c r="AL569" t="n">
        <v>17</v>
      </c>
      <c r="AM569" t="n">
        <v>18</v>
      </c>
      <c r="AN569" t="n">
        <v>3</v>
      </c>
      <c r="AO569" t="n">
        <v>4</v>
      </c>
      <c r="AP569" t="n">
        <v>3</v>
      </c>
      <c r="AQ569" t="n">
        <v>3</v>
      </c>
      <c r="AR569" t="inlineStr">
        <is>
          <t>No</t>
        </is>
      </c>
      <c r="AS569" t="inlineStr">
        <is>
          <t>No</t>
        </is>
      </c>
      <c r="AU569">
        <f>HYPERLINK("https://creighton-primo.hosted.exlibrisgroup.com/primo-explore/search?tab=default_tab&amp;search_scope=EVERYTHING&amp;vid=01CRU&amp;lang=en_US&amp;offset=0&amp;query=any,contains,991001347599702656","Catalog Record")</f>
        <v/>
      </c>
      <c r="AV569">
        <f>HYPERLINK("http://www.worldcat.org/oclc/25630308","WorldCat Record")</f>
        <v/>
      </c>
      <c r="AW569" t="inlineStr">
        <is>
          <t>891265627:eng</t>
        </is>
      </c>
      <c r="AX569" t="inlineStr">
        <is>
          <t>25630308</t>
        </is>
      </c>
      <c r="AY569" t="inlineStr">
        <is>
          <t>991001347599702656</t>
        </is>
      </c>
      <c r="AZ569" t="inlineStr">
        <is>
          <t>991001347599702656</t>
        </is>
      </c>
      <c r="BA569" t="inlineStr">
        <is>
          <t>2266752070002656</t>
        </is>
      </c>
      <c r="BB569" t="inlineStr">
        <is>
          <t>BOOK</t>
        </is>
      </c>
      <c r="BD569" t="inlineStr">
        <is>
          <t>9780896032354</t>
        </is>
      </c>
      <c r="BE569" t="inlineStr">
        <is>
          <t>30001002457879</t>
        </is>
      </c>
      <c r="BF569" t="inlineStr">
        <is>
          <t>893643512</t>
        </is>
      </c>
    </row>
    <row r="570">
      <c r="A570" t="inlineStr">
        <is>
          <t>No</t>
        </is>
      </c>
      <c r="B570" t="inlineStr">
        <is>
          <t>CUHSL</t>
        </is>
      </c>
      <c r="C570" t="inlineStr">
        <is>
          <t>SHELVES</t>
        </is>
      </c>
      <c r="D570" t="inlineStr">
        <is>
          <t>W 50 W628 1982</t>
        </is>
      </c>
      <c r="E570" t="inlineStr">
        <is>
          <t>0                      W  0050000W  628         1982</t>
        </is>
      </c>
      <c r="F570" t="inlineStr">
        <is>
          <t>Who decides? : conflicts of rights in health care / edited by Nora K. Bell.</t>
        </is>
      </c>
      <c r="H570" t="inlineStr">
        <is>
          <t>No</t>
        </is>
      </c>
      <c r="I570" t="inlineStr">
        <is>
          <t>1</t>
        </is>
      </c>
      <c r="J570" t="inlineStr">
        <is>
          <t>No</t>
        </is>
      </c>
      <c r="K570" t="inlineStr">
        <is>
          <t>No</t>
        </is>
      </c>
      <c r="L570" t="inlineStr">
        <is>
          <t>0</t>
        </is>
      </c>
      <c r="N570" t="inlineStr">
        <is>
          <t>Clifton, N.J. : Humana Press, c1982.</t>
        </is>
      </c>
      <c r="O570" t="inlineStr">
        <is>
          <t>1982</t>
        </is>
      </c>
      <c r="Q570" t="inlineStr">
        <is>
          <t>eng</t>
        </is>
      </c>
      <c r="R570" t="inlineStr">
        <is>
          <t>nju</t>
        </is>
      </c>
      <c r="S570" t="inlineStr">
        <is>
          <t>Contemporary issues in biomedicine, ethics, and society</t>
        </is>
      </c>
      <c r="T570" t="inlineStr">
        <is>
          <t xml:space="preserve">W  </t>
        </is>
      </c>
      <c r="U570" t="n">
        <v>5</v>
      </c>
      <c r="V570" t="n">
        <v>5</v>
      </c>
      <c r="W570" t="inlineStr">
        <is>
          <t>1989-06-18</t>
        </is>
      </c>
      <c r="X570" t="inlineStr">
        <is>
          <t>1989-06-18</t>
        </is>
      </c>
      <c r="Y570" t="inlineStr">
        <is>
          <t>1987-12-19</t>
        </is>
      </c>
      <c r="Z570" t="inlineStr">
        <is>
          <t>1987-12-19</t>
        </is>
      </c>
      <c r="AA570" t="n">
        <v>331</v>
      </c>
      <c r="AB570" t="n">
        <v>273</v>
      </c>
      <c r="AC570" t="n">
        <v>301</v>
      </c>
      <c r="AD570" t="n">
        <v>2</v>
      </c>
      <c r="AE570" t="n">
        <v>2</v>
      </c>
      <c r="AF570" t="n">
        <v>19</v>
      </c>
      <c r="AG570" t="n">
        <v>19</v>
      </c>
      <c r="AH570" t="n">
        <v>5</v>
      </c>
      <c r="AI570" t="n">
        <v>5</v>
      </c>
      <c r="AJ570" t="n">
        <v>4</v>
      </c>
      <c r="AK570" t="n">
        <v>4</v>
      </c>
      <c r="AL570" t="n">
        <v>12</v>
      </c>
      <c r="AM570" t="n">
        <v>12</v>
      </c>
      <c r="AN570" t="n">
        <v>1</v>
      </c>
      <c r="AO570" t="n">
        <v>1</v>
      </c>
      <c r="AP570" t="n">
        <v>2</v>
      </c>
      <c r="AQ570" t="n">
        <v>2</v>
      </c>
      <c r="AR570" t="inlineStr">
        <is>
          <t>No</t>
        </is>
      </c>
      <c r="AS570" t="inlineStr">
        <is>
          <t>Yes</t>
        </is>
      </c>
      <c r="AT570">
        <f>HYPERLINK("http://catalog.hathitrust.org/Record/000195042","HathiTrust Record")</f>
        <v/>
      </c>
      <c r="AU570">
        <f>HYPERLINK("https://creighton-primo.hosted.exlibrisgroup.com/primo-explore/search?tab=default_tab&amp;search_scope=EVERYTHING&amp;vid=01CRU&amp;lang=en_US&amp;offset=0&amp;query=any,contains,991001541399702656","Catalog Record")</f>
        <v/>
      </c>
      <c r="AV570">
        <f>HYPERLINK("http://www.worldcat.org/oclc/8112177","WorldCat Record")</f>
        <v/>
      </c>
      <c r="AW570" t="inlineStr">
        <is>
          <t>906249357:eng</t>
        </is>
      </c>
      <c r="AX570" t="inlineStr">
        <is>
          <t>8112177</t>
        </is>
      </c>
      <c r="AY570" t="inlineStr">
        <is>
          <t>991001541399702656</t>
        </is>
      </c>
      <c r="AZ570" t="inlineStr">
        <is>
          <t>991001541399702656</t>
        </is>
      </c>
      <c r="BA570" t="inlineStr">
        <is>
          <t>2257082020002656</t>
        </is>
      </c>
      <c r="BB570" t="inlineStr">
        <is>
          <t>BOOK</t>
        </is>
      </c>
      <c r="BD570" t="inlineStr">
        <is>
          <t>9780896030343</t>
        </is>
      </c>
      <c r="BE570" t="inlineStr">
        <is>
          <t>30001000635518</t>
        </is>
      </c>
      <c r="BF570" t="inlineStr">
        <is>
          <t>893649310</t>
        </is>
      </c>
    </row>
    <row r="571">
      <c r="A571" t="inlineStr">
        <is>
          <t>No</t>
        </is>
      </c>
      <c r="B571" t="inlineStr">
        <is>
          <t>CUHSL</t>
        </is>
      </c>
      <c r="C571" t="inlineStr">
        <is>
          <t>SHELVES</t>
        </is>
      </c>
      <c r="D571" t="inlineStr">
        <is>
          <t>W 50 W777c 1986</t>
        </is>
      </c>
      <c r="E571" t="inlineStr">
        <is>
          <t>0                      W  0050000W  777c        1986</t>
        </is>
      </c>
      <c r="F571" t="inlineStr">
        <is>
          <t>Choosing life or death : a guide for patients, families, and professionals / William J. Winslade, Judith Wilson Ross.</t>
        </is>
      </c>
      <c r="H571" t="inlineStr">
        <is>
          <t>No</t>
        </is>
      </c>
      <c r="I571" t="inlineStr">
        <is>
          <t>1</t>
        </is>
      </c>
      <c r="J571" t="inlineStr">
        <is>
          <t>No</t>
        </is>
      </c>
      <c r="K571" t="inlineStr">
        <is>
          <t>No</t>
        </is>
      </c>
      <c r="L571" t="inlineStr">
        <is>
          <t>0</t>
        </is>
      </c>
      <c r="M571" t="inlineStr">
        <is>
          <t>Winslade, William J.</t>
        </is>
      </c>
      <c r="N571" t="inlineStr">
        <is>
          <t>New York : Free Press ; London : Collier Macmillan, c1986.</t>
        </is>
      </c>
      <c r="O571" t="inlineStr">
        <is>
          <t>1986</t>
        </is>
      </c>
      <c r="Q571" t="inlineStr">
        <is>
          <t>eng</t>
        </is>
      </c>
      <c r="R571" t="inlineStr">
        <is>
          <t>nyu</t>
        </is>
      </c>
      <c r="T571" t="inlineStr">
        <is>
          <t xml:space="preserve">W  </t>
        </is>
      </c>
      <c r="U571" t="n">
        <v>12</v>
      </c>
      <c r="V571" t="n">
        <v>12</v>
      </c>
      <c r="W571" t="inlineStr">
        <is>
          <t>2005-07-13</t>
        </is>
      </c>
      <c r="X571" t="inlineStr">
        <is>
          <t>2005-07-13</t>
        </is>
      </c>
      <c r="Y571" t="inlineStr">
        <is>
          <t>1987-12-23</t>
        </is>
      </c>
      <c r="Z571" t="inlineStr">
        <is>
          <t>1987-12-23</t>
        </is>
      </c>
      <c r="AA571" t="n">
        <v>1011</v>
      </c>
      <c r="AB571" t="n">
        <v>937</v>
      </c>
      <c r="AC571" t="n">
        <v>942</v>
      </c>
      <c r="AD571" t="n">
        <v>7</v>
      </c>
      <c r="AE571" t="n">
        <v>7</v>
      </c>
      <c r="AF571" t="n">
        <v>29</v>
      </c>
      <c r="AG571" t="n">
        <v>29</v>
      </c>
      <c r="AH571" t="n">
        <v>10</v>
      </c>
      <c r="AI571" t="n">
        <v>10</v>
      </c>
      <c r="AJ571" t="n">
        <v>5</v>
      </c>
      <c r="AK571" t="n">
        <v>5</v>
      </c>
      <c r="AL571" t="n">
        <v>17</v>
      </c>
      <c r="AM571" t="n">
        <v>17</v>
      </c>
      <c r="AN571" t="n">
        <v>3</v>
      </c>
      <c r="AO571" t="n">
        <v>3</v>
      </c>
      <c r="AP571" t="n">
        <v>4</v>
      </c>
      <c r="AQ571" t="n">
        <v>4</v>
      </c>
      <c r="AR571" t="inlineStr">
        <is>
          <t>No</t>
        </is>
      </c>
      <c r="AS571" t="inlineStr">
        <is>
          <t>Yes</t>
        </is>
      </c>
      <c r="AT571">
        <f>HYPERLINK("http://catalog.hathitrust.org/Record/000579303","HathiTrust Record")</f>
        <v/>
      </c>
      <c r="AU571">
        <f>HYPERLINK("https://creighton-primo.hosted.exlibrisgroup.com/primo-explore/search?tab=default_tab&amp;search_scope=EVERYTHING&amp;vid=01CRU&amp;lang=en_US&amp;offset=0&amp;query=any,contains,991001548069702656","Catalog Record")</f>
        <v/>
      </c>
      <c r="AV571">
        <f>HYPERLINK("http://www.worldcat.org/oclc/12551640","WorldCat Record")</f>
        <v/>
      </c>
      <c r="AW571" t="inlineStr">
        <is>
          <t>972988599:eng</t>
        </is>
      </c>
      <c r="AX571" t="inlineStr">
        <is>
          <t>12551640</t>
        </is>
      </c>
      <c r="AY571" t="inlineStr">
        <is>
          <t>991001548069702656</t>
        </is>
      </c>
      <c r="AZ571" t="inlineStr">
        <is>
          <t>991001548069702656</t>
        </is>
      </c>
      <c r="BA571" t="inlineStr">
        <is>
          <t>2258579970002656</t>
        </is>
      </c>
      <c r="BB571" t="inlineStr">
        <is>
          <t>BOOK</t>
        </is>
      </c>
      <c r="BD571" t="inlineStr">
        <is>
          <t>9780029347201</t>
        </is>
      </c>
      <c r="BE571" t="inlineStr">
        <is>
          <t>30001000643959</t>
        </is>
      </c>
      <c r="BF571" t="inlineStr">
        <is>
          <t>893369470</t>
        </is>
      </c>
    </row>
    <row r="572">
      <c r="A572" t="inlineStr">
        <is>
          <t>No</t>
        </is>
      </c>
      <c r="B572" t="inlineStr">
        <is>
          <t>CUHSL</t>
        </is>
      </c>
      <c r="C572" t="inlineStr">
        <is>
          <t>SHELVES</t>
        </is>
      </c>
      <c r="D572" t="inlineStr">
        <is>
          <t>W50 W886m 2000</t>
        </is>
      </c>
      <c r="E572" t="inlineStr">
        <is>
          <t>0                      W  0050000W  886m        2000</t>
        </is>
      </c>
      <c r="F572" t="inlineStr">
        <is>
          <t>Mastering patient flow : to increase efficiency and earnings / by Elizabeth W. Woodcock.</t>
        </is>
      </c>
      <c r="H572" t="inlineStr">
        <is>
          <t>No</t>
        </is>
      </c>
      <c r="I572" t="inlineStr">
        <is>
          <t>1</t>
        </is>
      </c>
      <c r="J572" t="inlineStr">
        <is>
          <t>No</t>
        </is>
      </c>
      <c r="K572" t="inlineStr">
        <is>
          <t>No</t>
        </is>
      </c>
      <c r="L572" t="inlineStr">
        <is>
          <t>0</t>
        </is>
      </c>
      <c r="M572" t="inlineStr">
        <is>
          <t>Woodcock, Wlizabeth W.</t>
        </is>
      </c>
      <c r="N572" t="inlineStr">
        <is>
          <t>Englewood, CO : Medical Group Management Association, c2000.</t>
        </is>
      </c>
      <c r="O572" t="inlineStr">
        <is>
          <t>2000</t>
        </is>
      </c>
      <c r="Q572" t="inlineStr">
        <is>
          <t>eng</t>
        </is>
      </c>
      <c r="R572" t="inlineStr">
        <is>
          <t>cou</t>
        </is>
      </c>
      <c r="T572" t="inlineStr">
        <is>
          <t xml:space="preserve">W  </t>
        </is>
      </c>
      <c r="U572" t="n">
        <v>1</v>
      </c>
      <c r="V572" t="n">
        <v>1</v>
      </c>
      <c r="W572" t="inlineStr">
        <is>
          <t>2005-06-29</t>
        </is>
      </c>
      <c r="X572" t="inlineStr">
        <is>
          <t>2005-06-29</t>
        </is>
      </c>
      <c r="Y572" t="inlineStr">
        <is>
          <t>2002-02-22</t>
        </is>
      </c>
      <c r="Z572" t="inlineStr">
        <is>
          <t>2002-02-22</t>
        </is>
      </c>
      <c r="AA572" t="n">
        <v>22</v>
      </c>
      <c r="AB572" t="n">
        <v>21</v>
      </c>
      <c r="AC572" t="n">
        <v>33</v>
      </c>
      <c r="AD572" t="n">
        <v>1</v>
      </c>
      <c r="AE572" t="n">
        <v>1</v>
      </c>
      <c r="AF572" t="n">
        <v>0</v>
      </c>
      <c r="AG572" t="n">
        <v>1</v>
      </c>
      <c r="AH572" t="n">
        <v>0</v>
      </c>
      <c r="AI572" t="n">
        <v>0</v>
      </c>
      <c r="AJ572" t="n">
        <v>0</v>
      </c>
      <c r="AK572" t="n">
        <v>1</v>
      </c>
      <c r="AL572" t="n">
        <v>0</v>
      </c>
      <c r="AM572" t="n">
        <v>1</v>
      </c>
      <c r="AN572" t="n">
        <v>0</v>
      </c>
      <c r="AO572" t="n">
        <v>0</v>
      </c>
      <c r="AP572" t="n">
        <v>0</v>
      </c>
      <c r="AQ572" t="n">
        <v>0</v>
      </c>
      <c r="AR572" t="inlineStr">
        <is>
          <t>No</t>
        </is>
      </c>
      <c r="AS572" t="inlineStr">
        <is>
          <t>Yes</t>
        </is>
      </c>
      <c r="AT572">
        <f>HYPERLINK("http://catalog.hathitrust.org/Record/004206040","HathiTrust Record")</f>
        <v/>
      </c>
      <c r="AU572">
        <f>HYPERLINK("https://creighton-primo.hosted.exlibrisgroup.com/primo-explore/search?tab=default_tab&amp;search_scope=EVERYTHING&amp;vid=01CRU&amp;lang=en_US&amp;offset=0&amp;query=any,contains,991000305879702656","Catalog Record")</f>
        <v/>
      </c>
      <c r="AV572">
        <f>HYPERLINK("http://www.worldcat.org/oclc/45809005","WorldCat Record")</f>
        <v/>
      </c>
      <c r="AW572" t="inlineStr">
        <is>
          <t>35223173:eng</t>
        </is>
      </c>
      <c r="AX572" t="inlineStr">
        <is>
          <t>45809005</t>
        </is>
      </c>
      <c r="AY572" t="inlineStr">
        <is>
          <t>991000305879702656</t>
        </is>
      </c>
      <c r="AZ572" t="inlineStr">
        <is>
          <t>991000305879702656</t>
        </is>
      </c>
      <c r="BA572" t="inlineStr">
        <is>
          <t>2269808810002656</t>
        </is>
      </c>
      <c r="BB572" t="inlineStr">
        <is>
          <t>BOOK</t>
        </is>
      </c>
      <c r="BD572" t="inlineStr">
        <is>
          <t>9781568291321</t>
        </is>
      </c>
      <c r="BE572" t="inlineStr">
        <is>
          <t>30001004236750</t>
        </is>
      </c>
      <c r="BF572" t="inlineStr">
        <is>
          <t>893644186</t>
        </is>
      </c>
    </row>
    <row r="573">
      <c r="A573" t="inlineStr">
        <is>
          <t>No</t>
        </is>
      </c>
      <c r="B573" t="inlineStr">
        <is>
          <t>CUHSL</t>
        </is>
      </c>
      <c r="C573" t="inlineStr">
        <is>
          <t>SHELVES</t>
        </is>
      </c>
      <c r="D573" t="inlineStr">
        <is>
          <t>W 50 W926c 1989</t>
        </is>
      </c>
      <c r="E573" t="inlineStr">
        <is>
          <t>0                      W  0050000W  926c        1989</t>
        </is>
      </c>
      <c r="F573" t="inlineStr">
        <is>
          <t>Critical issues in contemporary health care : proceedings of the Eighth Bishops' Workshop, Dallas, Texas / Russell E. Smith, editor.</t>
        </is>
      </c>
      <c r="H573" t="inlineStr">
        <is>
          <t>No</t>
        </is>
      </c>
      <c r="I573" t="inlineStr">
        <is>
          <t>1</t>
        </is>
      </c>
      <c r="J573" t="inlineStr">
        <is>
          <t>No</t>
        </is>
      </c>
      <c r="K573" t="inlineStr">
        <is>
          <t>No</t>
        </is>
      </c>
      <c r="L573" t="inlineStr">
        <is>
          <t>0</t>
        </is>
      </c>
      <c r="M573" t="inlineStr">
        <is>
          <t>Workshop for Bishops of the United States and Canada (8th : 1989 : Dallas, Tex.)</t>
        </is>
      </c>
      <c r="N573" t="inlineStr">
        <is>
          <t>Braintree, Mass. : Pope John Center, c1989.</t>
        </is>
      </c>
      <c r="O573" t="inlineStr">
        <is>
          <t>1989</t>
        </is>
      </c>
      <c r="Q573" t="inlineStr">
        <is>
          <t>eng</t>
        </is>
      </c>
      <c r="R573" t="inlineStr">
        <is>
          <t>mau</t>
        </is>
      </c>
      <c r="T573" t="inlineStr">
        <is>
          <t xml:space="preserve">W  </t>
        </is>
      </c>
      <c r="U573" t="n">
        <v>16</v>
      </c>
      <c r="V573" t="n">
        <v>16</v>
      </c>
      <c r="W573" t="inlineStr">
        <is>
          <t>1996-05-28</t>
        </is>
      </c>
      <c r="X573" t="inlineStr">
        <is>
          <t>1996-05-28</t>
        </is>
      </c>
      <c r="Y573" t="inlineStr">
        <is>
          <t>1990-12-07</t>
        </is>
      </c>
      <c r="Z573" t="inlineStr">
        <is>
          <t>1990-12-07</t>
        </is>
      </c>
      <c r="AA573" t="n">
        <v>136</v>
      </c>
      <c r="AB573" t="n">
        <v>117</v>
      </c>
      <c r="AC573" t="n">
        <v>118</v>
      </c>
      <c r="AD573" t="n">
        <v>2</v>
      </c>
      <c r="AE573" t="n">
        <v>2</v>
      </c>
      <c r="AF573" t="n">
        <v>15</v>
      </c>
      <c r="AG573" t="n">
        <v>15</v>
      </c>
      <c r="AH573" t="n">
        <v>3</v>
      </c>
      <c r="AI573" t="n">
        <v>3</v>
      </c>
      <c r="AJ573" t="n">
        <v>5</v>
      </c>
      <c r="AK573" t="n">
        <v>5</v>
      </c>
      <c r="AL573" t="n">
        <v>10</v>
      </c>
      <c r="AM573" t="n">
        <v>10</v>
      </c>
      <c r="AN573" t="n">
        <v>0</v>
      </c>
      <c r="AO573" t="n">
        <v>0</v>
      </c>
      <c r="AP573" t="n">
        <v>2</v>
      </c>
      <c r="AQ573" t="n">
        <v>2</v>
      </c>
      <c r="AR573" t="inlineStr">
        <is>
          <t>No</t>
        </is>
      </c>
      <c r="AS573" t="inlineStr">
        <is>
          <t>Yes</t>
        </is>
      </c>
      <c r="AT573">
        <f>HYPERLINK("http://catalog.hathitrust.org/Record/006019110","HathiTrust Record")</f>
        <v/>
      </c>
      <c r="AU573">
        <f>HYPERLINK("https://creighton-primo.hosted.exlibrisgroup.com/primo-explore/search?tab=default_tab&amp;search_scope=EVERYTHING&amp;vid=01CRU&amp;lang=en_US&amp;offset=0&amp;query=any,contains,991000781739702656","Catalog Record")</f>
        <v/>
      </c>
      <c r="AV573">
        <f>HYPERLINK("http://www.worldcat.org/oclc/20319939","WorldCat Record")</f>
        <v/>
      </c>
      <c r="AW573" t="inlineStr">
        <is>
          <t>22266513:eng</t>
        </is>
      </c>
      <c r="AX573" t="inlineStr">
        <is>
          <t>20319939</t>
        </is>
      </c>
      <c r="AY573" t="inlineStr">
        <is>
          <t>991000781739702656</t>
        </is>
      </c>
      <c r="AZ573" t="inlineStr">
        <is>
          <t>991000781739702656</t>
        </is>
      </c>
      <c r="BA573" t="inlineStr">
        <is>
          <t>2254739460002656</t>
        </is>
      </c>
      <c r="BB573" t="inlineStr">
        <is>
          <t>BOOK</t>
        </is>
      </c>
      <c r="BD573" t="inlineStr">
        <is>
          <t>9780935372274</t>
        </is>
      </c>
      <c r="BE573" t="inlineStr">
        <is>
          <t>30001002065003</t>
        </is>
      </c>
      <c r="BF573" t="inlineStr">
        <is>
          <t>893161138</t>
        </is>
      </c>
    </row>
    <row r="574">
      <c r="A574" t="inlineStr">
        <is>
          <t>No</t>
        </is>
      </c>
      <c r="B574" t="inlineStr">
        <is>
          <t>CUHSL</t>
        </is>
      </c>
      <c r="C574" t="inlineStr">
        <is>
          <t>SHELVES</t>
        </is>
      </c>
      <c r="D574" t="inlineStr">
        <is>
          <t>W 50 W927h 1985</t>
        </is>
      </c>
      <c r="E574" t="inlineStr">
        <is>
          <t>0                      W  0050000W  927h        1985</t>
        </is>
      </c>
      <c r="F574" t="inlineStr">
        <is>
          <t>Handbook of declarations / World Medical Association.</t>
        </is>
      </c>
      <c r="H574" t="inlineStr">
        <is>
          <t>No</t>
        </is>
      </c>
      <c r="I574" t="inlineStr">
        <is>
          <t>1</t>
        </is>
      </c>
      <c r="J574" t="inlineStr">
        <is>
          <t>No</t>
        </is>
      </c>
      <c r="K574" t="inlineStr">
        <is>
          <t>No</t>
        </is>
      </c>
      <c r="L574" t="inlineStr">
        <is>
          <t>0</t>
        </is>
      </c>
      <c r="M574" t="inlineStr">
        <is>
          <t>World Medical Association.</t>
        </is>
      </c>
      <c r="N574" t="inlineStr">
        <is>
          <t>Farnborough, Hampshire, Eng. : Inkon Printers Ltd., c1985.</t>
        </is>
      </c>
      <c r="O574" t="inlineStr">
        <is>
          <t>1985</t>
        </is>
      </c>
      <c r="Q574" t="inlineStr">
        <is>
          <t>eng</t>
        </is>
      </c>
      <c r="R574" t="inlineStr">
        <is>
          <t xml:space="preserve">xx </t>
        </is>
      </c>
      <c r="T574" t="inlineStr">
        <is>
          <t xml:space="preserve">W  </t>
        </is>
      </c>
      <c r="U574" t="n">
        <v>8</v>
      </c>
      <c r="V574" t="n">
        <v>8</v>
      </c>
      <c r="W574" t="inlineStr">
        <is>
          <t>2001-08-23</t>
        </is>
      </c>
      <c r="X574" t="inlineStr">
        <is>
          <t>2001-08-23</t>
        </is>
      </c>
      <c r="Y574" t="inlineStr">
        <is>
          <t>1988-03-25</t>
        </is>
      </c>
      <c r="Z574" t="inlineStr">
        <is>
          <t>1988-03-25</t>
        </is>
      </c>
      <c r="AA574" t="n">
        <v>3</v>
      </c>
      <c r="AB574" t="n">
        <v>3</v>
      </c>
      <c r="AC574" t="n">
        <v>7</v>
      </c>
      <c r="AD574" t="n">
        <v>1</v>
      </c>
      <c r="AE574" t="n">
        <v>1</v>
      </c>
      <c r="AF574" t="n">
        <v>0</v>
      </c>
      <c r="AG574" t="n">
        <v>0</v>
      </c>
      <c r="AH574" t="n">
        <v>0</v>
      </c>
      <c r="AI574" t="n">
        <v>0</v>
      </c>
      <c r="AJ574" t="n">
        <v>0</v>
      </c>
      <c r="AK574" t="n">
        <v>0</v>
      </c>
      <c r="AL574" t="n">
        <v>0</v>
      </c>
      <c r="AM574" t="n">
        <v>0</v>
      </c>
      <c r="AN574" t="n">
        <v>0</v>
      </c>
      <c r="AO574" t="n">
        <v>0</v>
      </c>
      <c r="AP574" t="n">
        <v>0</v>
      </c>
      <c r="AQ574" t="n">
        <v>0</v>
      </c>
      <c r="AR574" t="inlineStr">
        <is>
          <t>No</t>
        </is>
      </c>
      <c r="AS574" t="inlineStr">
        <is>
          <t>No</t>
        </is>
      </c>
      <c r="AU574">
        <f>HYPERLINK("https://creighton-primo.hosted.exlibrisgroup.com/primo-explore/search?tab=default_tab&amp;search_scope=EVERYTHING&amp;vid=01CRU&amp;lang=en_US&amp;offset=0&amp;query=any,contains,991000629199702656","Catalog Record")</f>
        <v/>
      </c>
      <c r="AV574">
        <f>HYPERLINK("http://www.worldcat.org/oclc/16411167","WorldCat Record")</f>
        <v/>
      </c>
      <c r="AW574" t="inlineStr">
        <is>
          <t>10132376:eng</t>
        </is>
      </c>
      <c r="AX574" t="inlineStr">
        <is>
          <t>16411167</t>
        </is>
      </c>
      <c r="AY574" t="inlineStr">
        <is>
          <t>991000629199702656</t>
        </is>
      </c>
      <c r="AZ574" t="inlineStr">
        <is>
          <t>991000629199702656</t>
        </is>
      </c>
      <c r="BA574" t="inlineStr">
        <is>
          <t>2258319240002656</t>
        </is>
      </c>
      <c r="BB574" t="inlineStr">
        <is>
          <t>BOOK</t>
        </is>
      </c>
      <c r="BD574" t="inlineStr">
        <is>
          <t>9780951052105</t>
        </is>
      </c>
      <c r="BE574" t="inlineStr">
        <is>
          <t>30001000015398</t>
        </is>
      </c>
      <c r="BF574" t="inlineStr">
        <is>
          <t>893277784</t>
        </is>
      </c>
    </row>
    <row r="575">
      <c r="A575" t="inlineStr">
        <is>
          <t>No</t>
        </is>
      </c>
      <c r="B575" t="inlineStr">
        <is>
          <t>CUHSL</t>
        </is>
      </c>
      <c r="C575" t="inlineStr">
        <is>
          <t>SHELVES</t>
        </is>
      </c>
      <c r="D575" t="inlineStr">
        <is>
          <t>W50 W934e 1997</t>
        </is>
      </c>
      <c r="E575" t="inlineStr">
        <is>
          <t>0                      W  0050000W  934e        1997</t>
        </is>
      </c>
      <c r="F575" t="inlineStr">
        <is>
          <t>The ethics of the ordinary in healthcare : concepts and cases / John Abbott Worthley.</t>
        </is>
      </c>
      <c r="H575" t="inlineStr">
        <is>
          <t>No</t>
        </is>
      </c>
      <c r="I575" t="inlineStr">
        <is>
          <t>1</t>
        </is>
      </c>
      <c r="J575" t="inlineStr">
        <is>
          <t>No</t>
        </is>
      </c>
      <c r="K575" t="inlineStr">
        <is>
          <t>No</t>
        </is>
      </c>
      <c r="L575" t="inlineStr">
        <is>
          <t>0</t>
        </is>
      </c>
      <c r="M575" t="inlineStr">
        <is>
          <t>Worthley, John Abbott.</t>
        </is>
      </c>
      <c r="N575" t="inlineStr">
        <is>
          <t>Chicago, Ill. : Health Administration Press, c1997.</t>
        </is>
      </c>
      <c r="O575" t="inlineStr">
        <is>
          <t>1997</t>
        </is>
      </c>
      <c r="Q575" t="inlineStr">
        <is>
          <t>eng</t>
        </is>
      </c>
      <c r="R575" t="inlineStr">
        <is>
          <t>ilu</t>
        </is>
      </c>
      <c r="T575" t="inlineStr">
        <is>
          <t xml:space="preserve">W  </t>
        </is>
      </c>
      <c r="U575" t="n">
        <v>9</v>
      </c>
      <c r="V575" t="n">
        <v>9</v>
      </c>
      <c r="W575" t="inlineStr">
        <is>
          <t>2005-04-10</t>
        </is>
      </c>
      <c r="X575" t="inlineStr">
        <is>
          <t>2005-04-10</t>
        </is>
      </c>
      <c r="Y575" t="inlineStr">
        <is>
          <t>2002-07-08</t>
        </is>
      </c>
      <c r="Z575" t="inlineStr">
        <is>
          <t>2002-07-08</t>
        </is>
      </c>
      <c r="AA575" t="n">
        <v>222</v>
      </c>
      <c r="AB575" t="n">
        <v>208</v>
      </c>
      <c r="AC575" t="n">
        <v>215</v>
      </c>
      <c r="AD575" t="n">
        <v>2</v>
      </c>
      <c r="AE575" t="n">
        <v>2</v>
      </c>
      <c r="AF575" t="n">
        <v>19</v>
      </c>
      <c r="AG575" t="n">
        <v>19</v>
      </c>
      <c r="AH575" t="n">
        <v>4</v>
      </c>
      <c r="AI575" t="n">
        <v>4</v>
      </c>
      <c r="AJ575" t="n">
        <v>6</v>
      </c>
      <c r="AK575" t="n">
        <v>6</v>
      </c>
      <c r="AL575" t="n">
        <v>11</v>
      </c>
      <c r="AM575" t="n">
        <v>11</v>
      </c>
      <c r="AN575" t="n">
        <v>1</v>
      </c>
      <c r="AO575" t="n">
        <v>1</v>
      </c>
      <c r="AP575" t="n">
        <v>2</v>
      </c>
      <c r="AQ575" t="n">
        <v>2</v>
      </c>
      <c r="AR575" t="inlineStr">
        <is>
          <t>No</t>
        </is>
      </c>
      <c r="AS575" t="inlineStr">
        <is>
          <t>Yes</t>
        </is>
      </c>
      <c r="AT575">
        <f>HYPERLINK("http://catalog.hathitrust.org/Record/003973398","HathiTrust Record")</f>
        <v/>
      </c>
      <c r="AU575">
        <f>HYPERLINK("https://creighton-primo.hosted.exlibrisgroup.com/primo-explore/search?tab=default_tab&amp;search_scope=EVERYTHING&amp;vid=01CRU&amp;lang=en_US&amp;offset=0&amp;query=any,contains,991000323799702656","Catalog Record")</f>
        <v/>
      </c>
      <c r="AV575">
        <f>HYPERLINK("http://www.worldcat.org/oclc/36470659","WorldCat Record")</f>
        <v/>
      </c>
      <c r="AW575" t="inlineStr">
        <is>
          <t>679717:eng</t>
        </is>
      </c>
      <c r="AX575" t="inlineStr">
        <is>
          <t>36470659</t>
        </is>
      </c>
      <c r="AY575" t="inlineStr">
        <is>
          <t>991000323799702656</t>
        </is>
      </c>
      <c r="AZ575" t="inlineStr">
        <is>
          <t>991000323799702656</t>
        </is>
      </c>
      <c r="BA575" t="inlineStr">
        <is>
          <t>2259738690002656</t>
        </is>
      </c>
      <c r="BB575" t="inlineStr">
        <is>
          <t>BOOK</t>
        </is>
      </c>
      <c r="BD575" t="inlineStr">
        <is>
          <t>9781567930566</t>
        </is>
      </c>
      <c r="BE575" t="inlineStr">
        <is>
          <t>30001004443141</t>
        </is>
      </c>
      <c r="BF575" t="inlineStr">
        <is>
          <t>893542255</t>
        </is>
      </c>
    </row>
    <row r="576">
      <c r="A576" t="inlineStr">
        <is>
          <t>No</t>
        </is>
      </c>
      <c r="B576" t="inlineStr">
        <is>
          <t>CUHSL</t>
        </is>
      </c>
      <c r="C576" t="inlineStr">
        <is>
          <t>SHELVES</t>
        </is>
      </c>
      <c r="D576" t="inlineStr">
        <is>
          <t>W50 W934o 1999</t>
        </is>
      </c>
      <c r="E576" t="inlineStr">
        <is>
          <t>0                      W  0050000W  934o        1999</t>
        </is>
      </c>
      <c r="F576" t="inlineStr">
        <is>
          <t>Organizational ethics in the compliance context / John Abbott Worthley.</t>
        </is>
      </c>
      <c r="H576" t="inlineStr">
        <is>
          <t>No</t>
        </is>
      </c>
      <c r="I576" t="inlineStr">
        <is>
          <t>1</t>
        </is>
      </c>
      <c r="J576" t="inlineStr">
        <is>
          <t>No</t>
        </is>
      </c>
      <c r="K576" t="inlineStr">
        <is>
          <t>No</t>
        </is>
      </c>
      <c r="L576" t="inlineStr">
        <is>
          <t>0</t>
        </is>
      </c>
      <c r="M576" t="inlineStr">
        <is>
          <t>Worthley, John Abbott.</t>
        </is>
      </c>
      <c r="N576" t="inlineStr">
        <is>
          <t>Chicago, Ill. : Health Administration Press, c1999.</t>
        </is>
      </c>
      <c r="O576" t="inlineStr">
        <is>
          <t>1999</t>
        </is>
      </c>
      <c r="Q576" t="inlineStr">
        <is>
          <t>eng</t>
        </is>
      </c>
      <c r="R576" t="inlineStr">
        <is>
          <t>ilu</t>
        </is>
      </c>
      <c r="T576" t="inlineStr">
        <is>
          <t xml:space="preserve">W  </t>
        </is>
      </c>
      <c r="U576" t="n">
        <v>2</v>
      </c>
      <c r="V576" t="n">
        <v>2</v>
      </c>
      <c r="W576" t="inlineStr">
        <is>
          <t>2007-08-22</t>
        </is>
      </c>
      <c r="X576" t="inlineStr">
        <is>
          <t>2007-08-22</t>
        </is>
      </c>
      <c r="Y576" t="inlineStr">
        <is>
          <t>2002-07-08</t>
        </is>
      </c>
      <c r="Z576" t="inlineStr">
        <is>
          <t>2002-07-08</t>
        </is>
      </c>
      <c r="AA576" t="n">
        <v>131</v>
      </c>
      <c r="AB576" t="n">
        <v>123</v>
      </c>
      <c r="AC576" t="n">
        <v>123</v>
      </c>
      <c r="AD576" t="n">
        <v>1</v>
      </c>
      <c r="AE576" t="n">
        <v>1</v>
      </c>
      <c r="AF576" t="n">
        <v>10</v>
      </c>
      <c r="AG576" t="n">
        <v>10</v>
      </c>
      <c r="AH576" t="n">
        <v>1</v>
      </c>
      <c r="AI576" t="n">
        <v>1</v>
      </c>
      <c r="AJ576" t="n">
        <v>5</v>
      </c>
      <c r="AK576" t="n">
        <v>5</v>
      </c>
      <c r="AL576" t="n">
        <v>7</v>
      </c>
      <c r="AM576" t="n">
        <v>7</v>
      </c>
      <c r="AN576" t="n">
        <v>0</v>
      </c>
      <c r="AO576" t="n">
        <v>0</v>
      </c>
      <c r="AP576" t="n">
        <v>0</v>
      </c>
      <c r="AQ576" t="n">
        <v>0</v>
      </c>
      <c r="AR576" t="inlineStr">
        <is>
          <t>No</t>
        </is>
      </c>
      <c r="AS576" t="inlineStr">
        <is>
          <t>No</t>
        </is>
      </c>
      <c r="AU576">
        <f>HYPERLINK("https://creighton-primo.hosted.exlibrisgroup.com/primo-explore/search?tab=default_tab&amp;search_scope=EVERYTHING&amp;vid=01CRU&amp;lang=en_US&amp;offset=0&amp;query=any,contains,991000323879702656","Catalog Record")</f>
        <v/>
      </c>
      <c r="AV576">
        <f>HYPERLINK("http://www.worldcat.org/oclc/41176732","WorldCat Record")</f>
        <v/>
      </c>
      <c r="AW576" t="inlineStr">
        <is>
          <t>941752:eng</t>
        </is>
      </c>
      <c r="AX576" t="inlineStr">
        <is>
          <t>41176732</t>
        </is>
      </c>
      <c r="AY576" t="inlineStr">
        <is>
          <t>991000323879702656</t>
        </is>
      </c>
      <c r="AZ576" t="inlineStr">
        <is>
          <t>991000323879702656</t>
        </is>
      </c>
      <c r="BA576" t="inlineStr">
        <is>
          <t>2259280930002656</t>
        </is>
      </c>
      <c r="BB576" t="inlineStr">
        <is>
          <t>BOOK</t>
        </is>
      </c>
      <c r="BD576" t="inlineStr">
        <is>
          <t>9781567931105</t>
        </is>
      </c>
      <c r="BE576" t="inlineStr">
        <is>
          <t>30001004443158</t>
        </is>
      </c>
      <c r="BF576" t="inlineStr">
        <is>
          <t>893537059</t>
        </is>
      </c>
    </row>
    <row r="577">
      <c r="A577" t="inlineStr">
        <is>
          <t>No</t>
        </is>
      </c>
      <c r="B577" t="inlineStr">
        <is>
          <t>CUHSL</t>
        </is>
      </c>
      <c r="C577" t="inlineStr">
        <is>
          <t>SHELVES</t>
        </is>
      </c>
      <c r="D577" t="inlineStr">
        <is>
          <t>W 50 Y49m 1980</t>
        </is>
      </c>
      <c r="E577" t="inlineStr">
        <is>
          <t>0                      W  0050000Y  49m         1980</t>
        </is>
      </c>
      <c r="F577" t="inlineStr">
        <is>
          <t>Medical ethics : thinking about unavoidable questions / Ronald Yezzi.</t>
        </is>
      </c>
      <c r="H577" t="inlineStr">
        <is>
          <t>No</t>
        </is>
      </c>
      <c r="I577" t="inlineStr">
        <is>
          <t>1</t>
        </is>
      </c>
      <c r="J577" t="inlineStr">
        <is>
          <t>Yes</t>
        </is>
      </c>
      <c r="K577" t="inlineStr">
        <is>
          <t>No</t>
        </is>
      </c>
      <c r="L577" t="inlineStr">
        <is>
          <t>0</t>
        </is>
      </c>
      <c r="M577" t="inlineStr">
        <is>
          <t>Yezzi, Ronald.</t>
        </is>
      </c>
      <c r="N577" t="inlineStr">
        <is>
          <t>New York : Holt, Rinehart and Winston, c1980.</t>
        </is>
      </c>
      <c r="O577" t="inlineStr">
        <is>
          <t>1980</t>
        </is>
      </c>
      <c r="Q577" t="inlineStr">
        <is>
          <t>eng</t>
        </is>
      </c>
      <c r="R577" t="inlineStr">
        <is>
          <t>xxu</t>
        </is>
      </c>
      <c r="T577" t="inlineStr">
        <is>
          <t xml:space="preserve">W  </t>
        </is>
      </c>
      <c r="U577" t="n">
        <v>12</v>
      </c>
      <c r="V577" t="n">
        <v>12</v>
      </c>
      <c r="W577" t="inlineStr">
        <is>
          <t>1996-08-25</t>
        </is>
      </c>
      <c r="X577" t="inlineStr">
        <is>
          <t>1996-08-25</t>
        </is>
      </c>
      <c r="Y577" t="inlineStr">
        <is>
          <t>1987-12-18</t>
        </is>
      </c>
      <c r="Z577" t="inlineStr">
        <is>
          <t>1987-12-18</t>
        </is>
      </c>
      <c r="AA577" t="n">
        <v>210</v>
      </c>
      <c r="AB577" t="n">
        <v>145</v>
      </c>
      <c r="AC577" t="n">
        <v>147</v>
      </c>
      <c r="AD577" t="n">
        <v>2</v>
      </c>
      <c r="AE577" t="n">
        <v>2</v>
      </c>
      <c r="AF577" t="n">
        <v>4</v>
      </c>
      <c r="AG577" t="n">
        <v>4</v>
      </c>
      <c r="AH577" t="n">
        <v>2</v>
      </c>
      <c r="AI577" t="n">
        <v>2</v>
      </c>
      <c r="AJ577" t="n">
        <v>0</v>
      </c>
      <c r="AK577" t="n">
        <v>0</v>
      </c>
      <c r="AL577" t="n">
        <v>3</v>
      </c>
      <c r="AM577" t="n">
        <v>3</v>
      </c>
      <c r="AN577" t="n">
        <v>0</v>
      </c>
      <c r="AO577" t="n">
        <v>0</v>
      </c>
      <c r="AP577" t="n">
        <v>0</v>
      </c>
      <c r="AQ577" t="n">
        <v>0</v>
      </c>
      <c r="AR577" t="inlineStr">
        <is>
          <t>No</t>
        </is>
      </c>
      <c r="AS577" t="inlineStr">
        <is>
          <t>Yes</t>
        </is>
      </c>
      <c r="AT577">
        <f>HYPERLINK("http://catalog.hathitrust.org/Record/006182582","HathiTrust Record")</f>
        <v/>
      </c>
      <c r="AU577">
        <f>HYPERLINK("https://creighton-primo.hosted.exlibrisgroup.com/primo-explore/search?tab=default_tab&amp;search_scope=EVERYTHING&amp;vid=01CRU&amp;lang=en_US&amp;offset=0&amp;query=any,contains,991001541449702656","Catalog Record")</f>
        <v/>
      </c>
      <c r="AV577">
        <f>HYPERLINK("http://www.worldcat.org/oclc/5798973","WorldCat Record")</f>
        <v/>
      </c>
      <c r="AW577" t="inlineStr">
        <is>
          <t>401417:eng</t>
        </is>
      </c>
      <c r="AX577" t="inlineStr">
        <is>
          <t>5798973</t>
        </is>
      </c>
      <c r="AY577" t="inlineStr">
        <is>
          <t>991001541449702656</t>
        </is>
      </c>
      <c r="AZ577" t="inlineStr">
        <is>
          <t>991001541449702656</t>
        </is>
      </c>
      <c r="BA577" t="inlineStr">
        <is>
          <t>2268820660002656</t>
        </is>
      </c>
      <c r="BB577" t="inlineStr">
        <is>
          <t>BOOK</t>
        </is>
      </c>
      <c r="BD577" t="inlineStr">
        <is>
          <t>9780030532566</t>
        </is>
      </c>
      <c r="BE577" t="inlineStr">
        <is>
          <t>30001000635542</t>
        </is>
      </c>
      <c r="BF577" t="inlineStr">
        <is>
          <t>893168263</t>
        </is>
      </c>
    </row>
    <row r="578">
      <c r="A578" t="inlineStr">
        <is>
          <t>No</t>
        </is>
      </c>
      <c r="B578" t="inlineStr">
        <is>
          <t>CUHSL</t>
        </is>
      </c>
      <c r="C578" t="inlineStr">
        <is>
          <t>SHELVES</t>
        </is>
      </c>
      <c r="D578" t="inlineStr">
        <is>
          <t>W50 Z999 2000</t>
        </is>
      </c>
      <c r="E578" t="inlineStr">
        <is>
          <t>0                      W  0050000Z  999         2000</t>
        </is>
      </c>
      <c r="F578" t="inlineStr">
        <is>
          <t>20 common problems : ethics in primary care / [edited by] Jeremy Sugarman.</t>
        </is>
      </c>
      <c r="H578" t="inlineStr">
        <is>
          <t>No</t>
        </is>
      </c>
      <c r="I578" t="inlineStr">
        <is>
          <t>1</t>
        </is>
      </c>
      <c r="J578" t="inlineStr">
        <is>
          <t>No</t>
        </is>
      </c>
      <c r="K578" t="inlineStr">
        <is>
          <t>No</t>
        </is>
      </c>
      <c r="L578" t="inlineStr">
        <is>
          <t>0</t>
        </is>
      </c>
      <c r="N578" t="inlineStr">
        <is>
          <t>New York : McGraw-Hill, c2000.</t>
        </is>
      </c>
      <c r="O578" t="inlineStr">
        <is>
          <t>2000</t>
        </is>
      </c>
      <c r="Q578" t="inlineStr">
        <is>
          <t>eng</t>
        </is>
      </c>
      <c r="R578" t="inlineStr">
        <is>
          <t>nyu</t>
        </is>
      </c>
      <c r="T578" t="inlineStr">
        <is>
          <t xml:space="preserve">W  </t>
        </is>
      </c>
      <c r="U578" t="n">
        <v>0</v>
      </c>
      <c r="V578" t="n">
        <v>0</v>
      </c>
      <c r="W578" t="inlineStr">
        <is>
          <t>2006-01-17</t>
        </is>
      </c>
      <c r="X578" t="inlineStr">
        <is>
          <t>2006-01-17</t>
        </is>
      </c>
      <c r="Y578" t="inlineStr">
        <is>
          <t>2005-12-21</t>
        </is>
      </c>
      <c r="Z578" t="inlineStr">
        <is>
          <t>2005-12-21</t>
        </is>
      </c>
      <c r="AA578" t="n">
        <v>297</v>
      </c>
      <c r="AB578" t="n">
        <v>224</v>
      </c>
      <c r="AC578" t="n">
        <v>229</v>
      </c>
      <c r="AD578" t="n">
        <v>1</v>
      </c>
      <c r="AE578" t="n">
        <v>1</v>
      </c>
      <c r="AF578" t="n">
        <v>8</v>
      </c>
      <c r="AG578" t="n">
        <v>8</v>
      </c>
      <c r="AH578" t="n">
        <v>1</v>
      </c>
      <c r="AI578" t="n">
        <v>1</v>
      </c>
      <c r="AJ578" t="n">
        <v>2</v>
      </c>
      <c r="AK578" t="n">
        <v>2</v>
      </c>
      <c r="AL578" t="n">
        <v>6</v>
      </c>
      <c r="AM578" t="n">
        <v>6</v>
      </c>
      <c r="AN578" t="n">
        <v>0</v>
      </c>
      <c r="AO578" t="n">
        <v>0</v>
      </c>
      <c r="AP578" t="n">
        <v>0</v>
      </c>
      <c r="AQ578" t="n">
        <v>0</v>
      </c>
      <c r="AR578" t="inlineStr">
        <is>
          <t>No</t>
        </is>
      </c>
      <c r="AS578" t="inlineStr">
        <is>
          <t>Yes</t>
        </is>
      </c>
      <c r="AT578">
        <f>HYPERLINK("http://catalog.hathitrust.org/Record/004092352","HathiTrust Record")</f>
        <v/>
      </c>
      <c r="AU578">
        <f>HYPERLINK("https://creighton-primo.hosted.exlibrisgroup.com/primo-explore/search?tab=default_tab&amp;search_scope=EVERYTHING&amp;vid=01CRU&amp;lang=en_US&amp;offset=0&amp;query=any,contains,991000454269702656","Catalog Record")</f>
        <v/>
      </c>
      <c r="AV578">
        <f>HYPERLINK("http://www.worldcat.org/oclc/45066282","WorldCat Record")</f>
        <v/>
      </c>
      <c r="AW578" t="inlineStr">
        <is>
          <t>2536139:eng</t>
        </is>
      </c>
      <c r="AX578" t="inlineStr">
        <is>
          <t>45066282</t>
        </is>
      </c>
      <c r="AY578" t="inlineStr">
        <is>
          <t>991000454269702656</t>
        </is>
      </c>
      <c r="AZ578" t="inlineStr">
        <is>
          <t>991000454269702656</t>
        </is>
      </c>
      <c r="BA578" t="inlineStr">
        <is>
          <t>2263344300002656</t>
        </is>
      </c>
      <c r="BB578" t="inlineStr">
        <is>
          <t>BOOK</t>
        </is>
      </c>
      <c r="BD578" t="inlineStr">
        <is>
          <t>9780070633698</t>
        </is>
      </c>
      <c r="BE578" t="inlineStr">
        <is>
          <t>30001004910875</t>
        </is>
      </c>
      <c r="BF578" t="inlineStr">
        <is>
          <t>893280013</t>
        </is>
      </c>
    </row>
    <row r="579">
      <c r="A579" t="inlineStr">
        <is>
          <t>No</t>
        </is>
      </c>
      <c r="B579" t="inlineStr">
        <is>
          <t>CUHSL</t>
        </is>
      </c>
      <c r="C579" t="inlineStr">
        <is>
          <t>SHELVES</t>
        </is>
      </c>
      <c r="D579" t="inlineStr">
        <is>
          <t>W 50.3 K47b 1979</t>
        </is>
      </c>
      <c r="E579" t="inlineStr">
        <is>
          <t>0                      W  0050300K  47b         1979</t>
        </is>
      </c>
      <c r="F579" t="inlineStr">
        <is>
          <t>Bioethics : a textbook of issues / George H. Kieffer.</t>
        </is>
      </c>
      <c r="H579" t="inlineStr">
        <is>
          <t>No</t>
        </is>
      </c>
      <c r="I579" t="inlineStr">
        <is>
          <t>1</t>
        </is>
      </c>
      <c r="J579" t="inlineStr">
        <is>
          <t>No</t>
        </is>
      </c>
      <c r="K579" t="inlineStr">
        <is>
          <t>No</t>
        </is>
      </c>
      <c r="L579" t="inlineStr">
        <is>
          <t>0</t>
        </is>
      </c>
      <c r="M579" t="inlineStr">
        <is>
          <t>Kieffer, George H., 1930-</t>
        </is>
      </c>
      <c r="N579" t="inlineStr">
        <is>
          <t>Reading, Mass. : Addison-Wesley Pub. Co., c1979.</t>
        </is>
      </c>
      <c r="O579" t="inlineStr">
        <is>
          <t>1979</t>
        </is>
      </c>
      <c r="Q579" t="inlineStr">
        <is>
          <t>eng</t>
        </is>
      </c>
      <c r="R579" t="inlineStr">
        <is>
          <t>mau</t>
        </is>
      </c>
      <c r="T579" t="inlineStr">
        <is>
          <t xml:space="preserve">W  </t>
        </is>
      </c>
      <c r="U579" t="n">
        <v>0</v>
      </c>
      <c r="V579" t="n">
        <v>0</v>
      </c>
      <c r="W579" t="inlineStr">
        <is>
          <t>2007-02-09</t>
        </is>
      </c>
      <c r="X579" t="inlineStr">
        <is>
          <t>2007-02-09</t>
        </is>
      </c>
      <c r="Y579" t="inlineStr">
        <is>
          <t>2007-02-08</t>
        </is>
      </c>
      <c r="Z579" t="inlineStr">
        <is>
          <t>2007-02-08</t>
        </is>
      </c>
      <c r="AA579" t="n">
        <v>679</v>
      </c>
      <c r="AB579" t="n">
        <v>570</v>
      </c>
      <c r="AC579" t="n">
        <v>578</v>
      </c>
      <c r="AD579" t="n">
        <v>2</v>
      </c>
      <c r="AE579" t="n">
        <v>2</v>
      </c>
      <c r="AF579" t="n">
        <v>22</v>
      </c>
      <c r="AG579" t="n">
        <v>22</v>
      </c>
      <c r="AH579" t="n">
        <v>10</v>
      </c>
      <c r="AI579" t="n">
        <v>10</v>
      </c>
      <c r="AJ579" t="n">
        <v>2</v>
      </c>
      <c r="AK579" t="n">
        <v>2</v>
      </c>
      <c r="AL579" t="n">
        <v>12</v>
      </c>
      <c r="AM579" t="n">
        <v>12</v>
      </c>
      <c r="AN579" t="n">
        <v>1</v>
      </c>
      <c r="AO579" t="n">
        <v>1</v>
      </c>
      <c r="AP579" t="n">
        <v>0</v>
      </c>
      <c r="AQ579" t="n">
        <v>0</v>
      </c>
      <c r="AR579" t="inlineStr">
        <is>
          <t>No</t>
        </is>
      </c>
      <c r="AS579" t="inlineStr">
        <is>
          <t>Yes</t>
        </is>
      </c>
      <c r="AT579">
        <f>HYPERLINK("http://catalog.hathitrust.org/Record/000255397","HathiTrust Record")</f>
        <v/>
      </c>
      <c r="AU579">
        <f>HYPERLINK("https://creighton-primo.hosted.exlibrisgroup.com/primo-explore/search?tab=default_tab&amp;search_scope=EVERYTHING&amp;vid=01CRU&amp;lang=en_US&amp;offset=0&amp;query=any,contains,991000593629702656","Catalog Record")</f>
        <v/>
      </c>
      <c r="AV579">
        <f>HYPERLINK("http://www.worldcat.org/oclc/4491393","WorldCat Record")</f>
        <v/>
      </c>
      <c r="AW579" t="inlineStr">
        <is>
          <t>416860:eng</t>
        </is>
      </c>
      <c r="AX579" t="inlineStr">
        <is>
          <t>4491393</t>
        </is>
      </c>
      <c r="AY579" t="inlineStr">
        <is>
          <t>991000593629702656</t>
        </is>
      </c>
      <c r="AZ579" t="inlineStr">
        <is>
          <t>991000593629702656</t>
        </is>
      </c>
      <c r="BA579" t="inlineStr">
        <is>
          <t>2264132550002656</t>
        </is>
      </c>
      <c r="BB579" t="inlineStr">
        <is>
          <t>BOOK</t>
        </is>
      </c>
      <c r="BD579" t="inlineStr">
        <is>
          <t>9780201038910</t>
        </is>
      </c>
      <c r="BE579" t="inlineStr">
        <is>
          <t>30001005214525</t>
        </is>
      </c>
      <c r="BF579" t="inlineStr">
        <is>
          <t>893362365</t>
        </is>
      </c>
    </row>
    <row r="580">
      <c r="A580" t="inlineStr">
        <is>
          <t>No</t>
        </is>
      </c>
      <c r="B580" t="inlineStr">
        <is>
          <t>CUHSL</t>
        </is>
      </c>
      <c r="C580" t="inlineStr">
        <is>
          <t>SHELVES</t>
        </is>
      </c>
      <c r="D580" t="inlineStr">
        <is>
          <t>W 58 M489 1986</t>
        </is>
      </c>
      <c r="E580" t="inlineStr">
        <is>
          <t>0                      W  0058000M  489         1986</t>
        </is>
      </c>
      <c r="F580" t="inlineStr">
        <is>
          <t>Medical ethics and economics in health care / edited by Gavin Mooney and Alastair McGuire.</t>
        </is>
      </c>
      <c r="H580" t="inlineStr">
        <is>
          <t>No</t>
        </is>
      </c>
      <c r="I580" t="inlineStr">
        <is>
          <t>1</t>
        </is>
      </c>
      <c r="J580" t="inlineStr">
        <is>
          <t>No</t>
        </is>
      </c>
      <c r="K580" t="inlineStr">
        <is>
          <t>No</t>
        </is>
      </c>
      <c r="L580" t="inlineStr">
        <is>
          <t>0</t>
        </is>
      </c>
      <c r="N580" t="inlineStr">
        <is>
          <t>Oxford ; New York : Oxford University Press, c1988.</t>
        </is>
      </c>
      <c r="O580" t="inlineStr">
        <is>
          <t>1988</t>
        </is>
      </c>
      <c r="Q580" t="inlineStr">
        <is>
          <t>eng</t>
        </is>
      </c>
      <c r="R580" t="inlineStr">
        <is>
          <t>enk</t>
        </is>
      </c>
      <c r="S580" t="inlineStr">
        <is>
          <t>Oxford medical publications</t>
        </is>
      </c>
      <c r="T580" t="inlineStr">
        <is>
          <t xml:space="preserve">W  </t>
        </is>
      </c>
      <c r="U580" t="n">
        <v>22</v>
      </c>
      <c r="V580" t="n">
        <v>22</v>
      </c>
      <c r="W580" t="inlineStr">
        <is>
          <t>2006-09-08</t>
        </is>
      </c>
      <c r="X580" t="inlineStr">
        <is>
          <t>2006-09-08</t>
        </is>
      </c>
      <c r="Y580" t="inlineStr">
        <is>
          <t>1988-08-18</t>
        </is>
      </c>
      <c r="Z580" t="inlineStr">
        <is>
          <t>1988-08-18</t>
        </is>
      </c>
      <c r="AA580" t="n">
        <v>264</v>
      </c>
      <c r="AB580" t="n">
        <v>177</v>
      </c>
      <c r="AC580" t="n">
        <v>184</v>
      </c>
      <c r="AD580" t="n">
        <v>2</v>
      </c>
      <c r="AE580" t="n">
        <v>2</v>
      </c>
      <c r="AF580" t="n">
        <v>9</v>
      </c>
      <c r="AG580" t="n">
        <v>9</v>
      </c>
      <c r="AH580" t="n">
        <v>0</v>
      </c>
      <c r="AI580" t="n">
        <v>0</v>
      </c>
      <c r="AJ580" t="n">
        <v>3</v>
      </c>
      <c r="AK580" t="n">
        <v>3</v>
      </c>
      <c r="AL580" t="n">
        <v>5</v>
      </c>
      <c r="AM580" t="n">
        <v>5</v>
      </c>
      <c r="AN580" t="n">
        <v>1</v>
      </c>
      <c r="AO580" t="n">
        <v>1</v>
      </c>
      <c r="AP580" t="n">
        <v>3</v>
      </c>
      <c r="AQ580" t="n">
        <v>3</v>
      </c>
      <c r="AR580" t="inlineStr">
        <is>
          <t>No</t>
        </is>
      </c>
      <c r="AS580" t="inlineStr">
        <is>
          <t>Yes</t>
        </is>
      </c>
      <c r="AT580">
        <f>HYPERLINK("http://catalog.hathitrust.org/Record/000917604","HathiTrust Record")</f>
        <v/>
      </c>
      <c r="AU580">
        <f>HYPERLINK("https://creighton-primo.hosted.exlibrisgroup.com/primo-explore/search?tab=default_tab&amp;search_scope=EVERYTHING&amp;vid=01CRU&amp;lang=en_US&amp;offset=0&amp;query=any,contains,991001421559702656","Catalog Record")</f>
        <v/>
      </c>
      <c r="AV580">
        <f>HYPERLINK("http://www.worldcat.org/oclc/16682472","WorldCat Record")</f>
        <v/>
      </c>
      <c r="AW580" t="inlineStr">
        <is>
          <t>354794799:eng</t>
        </is>
      </c>
      <c r="AX580" t="inlineStr">
        <is>
          <t>16682472</t>
        </is>
      </c>
      <c r="AY580" t="inlineStr">
        <is>
          <t>991001421559702656</t>
        </is>
      </c>
      <c r="AZ580" t="inlineStr">
        <is>
          <t>991001421559702656</t>
        </is>
      </c>
      <c r="BA580" t="inlineStr">
        <is>
          <t>2263408670002656</t>
        </is>
      </c>
      <c r="BB580" t="inlineStr">
        <is>
          <t>BOOK</t>
        </is>
      </c>
      <c r="BD580" t="inlineStr">
        <is>
          <t>9780192616722</t>
        </is>
      </c>
      <c r="BE580" t="inlineStr">
        <is>
          <t>30001001182437</t>
        </is>
      </c>
      <c r="BF580" t="inlineStr">
        <is>
          <t>893134564</t>
        </is>
      </c>
    </row>
    <row r="581">
      <c r="A581" t="inlineStr">
        <is>
          <t>No</t>
        </is>
      </c>
      <c r="B581" t="inlineStr">
        <is>
          <t>CUHSL</t>
        </is>
      </c>
      <c r="C581" t="inlineStr">
        <is>
          <t>SHELVES</t>
        </is>
      </c>
      <c r="D581" t="inlineStr">
        <is>
          <t>W 58 M872b 1995</t>
        </is>
      </c>
      <c r="E581" t="inlineStr">
        <is>
          <t>0                      W  0058000M  872b        1995</t>
        </is>
      </c>
      <c r="F581" t="inlineStr">
        <is>
          <t>Balancing act : the new medical ethics of medicine's new economics / E. Haavi Morreim.</t>
        </is>
      </c>
      <c r="H581" t="inlineStr">
        <is>
          <t>No</t>
        </is>
      </c>
      <c r="I581" t="inlineStr">
        <is>
          <t>1</t>
        </is>
      </c>
      <c r="J581" t="inlineStr">
        <is>
          <t>No</t>
        </is>
      </c>
      <c r="K581" t="inlineStr">
        <is>
          <t>Yes</t>
        </is>
      </c>
      <c r="L581" t="inlineStr">
        <is>
          <t>1</t>
        </is>
      </c>
      <c r="M581" t="inlineStr">
        <is>
          <t>Morreim, E. Haavi.</t>
        </is>
      </c>
      <c r="N581" t="inlineStr">
        <is>
          <t>Washington, D.C. : Georgetown University Press, c1995.</t>
        </is>
      </c>
      <c r="O581" t="inlineStr">
        <is>
          <t>1995</t>
        </is>
      </c>
      <c r="Q581" t="inlineStr">
        <is>
          <t>eng</t>
        </is>
      </c>
      <c r="R581" t="inlineStr">
        <is>
          <t>dcu</t>
        </is>
      </c>
      <c r="S581" t="inlineStr">
        <is>
          <t>Clinical medical ethics</t>
        </is>
      </c>
      <c r="T581" t="inlineStr">
        <is>
          <t xml:space="preserve">W  </t>
        </is>
      </c>
      <c r="U581" t="n">
        <v>13</v>
      </c>
      <c r="V581" t="n">
        <v>13</v>
      </c>
      <c r="W581" t="inlineStr">
        <is>
          <t>2003-11-24</t>
        </is>
      </c>
      <c r="X581" t="inlineStr">
        <is>
          <t>2003-11-24</t>
        </is>
      </c>
      <c r="Y581" t="inlineStr">
        <is>
          <t>1998-03-19</t>
        </is>
      </c>
      <c r="Z581" t="inlineStr">
        <is>
          <t>1998-03-19</t>
        </is>
      </c>
      <c r="AA581" t="n">
        <v>283</v>
      </c>
      <c r="AB581" t="n">
        <v>243</v>
      </c>
      <c r="AC581" t="n">
        <v>1360</v>
      </c>
      <c r="AD581" t="n">
        <v>1</v>
      </c>
      <c r="AE581" t="n">
        <v>16</v>
      </c>
      <c r="AF581" t="n">
        <v>18</v>
      </c>
      <c r="AG581" t="n">
        <v>54</v>
      </c>
      <c r="AH581" t="n">
        <v>4</v>
      </c>
      <c r="AI581" t="n">
        <v>18</v>
      </c>
      <c r="AJ581" t="n">
        <v>4</v>
      </c>
      <c r="AK581" t="n">
        <v>9</v>
      </c>
      <c r="AL581" t="n">
        <v>9</v>
      </c>
      <c r="AM581" t="n">
        <v>17</v>
      </c>
      <c r="AN581" t="n">
        <v>0</v>
      </c>
      <c r="AO581" t="n">
        <v>13</v>
      </c>
      <c r="AP581" t="n">
        <v>5</v>
      </c>
      <c r="AQ581" t="n">
        <v>7</v>
      </c>
      <c r="AR581" t="inlineStr">
        <is>
          <t>No</t>
        </is>
      </c>
      <c r="AS581" t="inlineStr">
        <is>
          <t>No</t>
        </is>
      </c>
      <c r="AU581">
        <f>HYPERLINK("https://creighton-primo.hosted.exlibrisgroup.com/primo-explore/search?tab=default_tab&amp;search_scope=EVERYTHING&amp;vid=01CRU&amp;lang=en_US&amp;offset=0&amp;query=any,contains,991001293809702656","Catalog Record")</f>
        <v/>
      </c>
      <c r="AV581">
        <f>HYPERLINK("http://www.worldcat.org/oclc/31288757","WorldCat Record")</f>
        <v/>
      </c>
      <c r="AW581" t="inlineStr">
        <is>
          <t>2864309556:eng</t>
        </is>
      </c>
      <c r="AX581" t="inlineStr">
        <is>
          <t>31288757</t>
        </is>
      </c>
      <c r="AY581" t="inlineStr">
        <is>
          <t>991001293809702656</t>
        </is>
      </c>
      <c r="AZ581" t="inlineStr">
        <is>
          <t>991001293809702656</t>
        </is>
      </c>
      <c r="BA581" t="inlineStr">
        <is>
          <t>2260331020002656</t>
        </is>
      </c>
      <c r="BB581" t="inlineStr">
        <is>
          <t>BOOK</t>
        </is>
      </c>
      <c r="BD581" t="inlineStr">
        <is>
          <t>9780878405848</t>
        </is>
      </c>
      <c r="BE581" t="inlineStr">
        <is>
          <t>30001003740158</t>
        </is>
      </c>
      <c r="BF581" t="inlineStr">
        <is>
          <t>893134453</t>
        </is>
      </c>
    </row>
    <row r="582">
      <c r="A582" t="inlineStr">
        <is>
          <t>No</t>
        </is>
      </c>
      <c r="B582" t="inlineStr">
        <is>
          <t>CUHSL</t>
        </is>
      </c>
      <c r="C582" t="inlineStr">
        <is>
          <t>SHELVES</t>
        </is>
      </c>
      <c r="D582" t="inlineStr">
        <is>
          <t>W 58 R324a 1933</t>
        </is>
      </c>
      <c r="E582" t="inlineStr">
        <is>
          <t>0                      W  0058000R  324a        1933</t>
        </is>
      </c>
      <c r="F582" t="inlineStr">
        <is>
          <t>The ability to pay for medical care / by Louis S. Reed.</t>
        </is>
      </c>
      <c r="H582" t="inlineStr">
        <is>
          <t>No</t>
        </is>
      </c>
      <c r="I582" t="inlineStr">
        <is>
          <t>1</t>
        </is>
      </c>
      <c r="J582" t="inlineStr">
        <is>
          <t>No</t>
        </is>
      </c>
      <c r="K582" t="inlineStr">
        <is>
          <t>No</t>
        </is>
      </c>
      <c r="L582" t="inlineStr">
        <is>
          <t>0</t>
        </is>
      </c>
      <c r="M582" t="inlineStr">
        <is>
          <t>Reed, Louis S., 1902-1975.</t>
        </is>
      </c>
      <c r="N582" t="inlineStr">
        <is>
          <t>Chicago, Ill. : The University of Chicago Press, c1933.</t>
        </is>
      </c>
      <c r="O582" t="inlineStr">
        <is>
          <t>1933</t>
        </is>
      </c>
      <c r="Q582" t="inlineStr">
        <is>
          <t>eng</t>
        </is>
      </c>
      <c r="R582" t="inlineStr">
        <is>
          <t>ilu</t>
        </is>
      </c>
      <c r="S582" t="inlineStr">
        <is>
          <t>Publications of the Committee on the costs of medical care: no. 25</t>
        </is>
      </c>
      <c r="T582" t="inlineStr">
        <is>
          <t xml:space="preserve">W  </t>
        </is>
      </c>
      <c r="U582" t="n">
        <v>2</v>
      </c>
      <c r="V582" t="n">
        <v>2</v>
      </c>
      <c r="W582" t="inlineStr">
        <is>
          <t>2003-11-10</t>
        </is>
      </c>
      <c r="X582" t="inlineStr">
        <is>
          <t>2003-11-10</t>
        </is>
      </c>
      <c r="Y582" t="inlineStr">
        <is>
          <t>1987-12-23</t>
        </is>
      </c>
      <c r="Z582" t="inlineStr">
        <is>
          <t>1987-12-23</t>
        </is>
      </c>
      <c r="AA582" t="n">
        <v>71</v>
      </c>
      <c r="AB582" t="n">
        <v>65</v>
      </c>
      <c r="AC582" t="n">
        <v>80</v>
      </c>
      <c r="AD582" t="n">
        <v>1</v>
      </c>
      <c r="AE582" t="n">
        <v>1</v>
      </c>
      <c r="AF582" t="n">
        <v>1</v>
      </c>
      <c r="AG582" t="n">
        <v>1</v>
      </c>
      <c r="AH582" t="n">
        <v>0</v>
      </c>
      <c r="AI582" t="n">
        <v>0</v>
      </c>
      <c r="AJ582" t="n">
        <v>1</v>
      </c>
      <c r="AK582" t="n">
        <v>1</v>
      </c>
      <c r="AL582" t="n">
        <v>0</v>
      </c>
      <c r="AM582" t="n">
        <v>0</v>
      </c>
      <c r="AN582" t="n">
        <v>0</v>
      </c>
      <c r="AO582" t="n">
        <v>0</v>
      </c>
      <c r="AP582" t="n">
        <v>0</v>
      </c>
      <c r="AQ582" t="n">
        <v>0</v>
      </c>
      <c r="AR582" t="inlineStr">
        <is>
          <t>Yes</t>
        </is>
      </c>
      <c r="AS582" t="inlineStr">
        <is>
          <t>No</t>
        </is>
      </c>
      <c r="AT582">
        <f>HYPERLINK("http://catalog.hathitrust.org/Record/102181640","HathiTrust Record")</f>
        <v/>
      </c>
      <c r="AU582">
        <f>HYPERLINK("https://creighton-primo.hosted.exlibrisgroup.com/primo-explore/search?tab=default_tab&amp;search_scope=EVERYTHING&amp;vid=01CRU&amp;lang=en_US&amp;offset=0&amp;query=any,contains,991001541529702656","Catalog Record")</f>
        <v/>
      </c>
      <c r="AV582">
        <f>HYPERLINK("http://www.worldcat.org/oclc/1924618","WorldCat Record")</f>
        <v/>
      </c>
      <c r="AW582" t="inlineStr">
        <is>
          <t>2712001:eng</t>
        </is>
      </c>
      <c r="AX582" t="inlineStr">
        <is>
          <t>1924618</t>
        </is>
      </c>
      <c r="AY582" t="inlineStr">
        <is>
          <t>991001541529702656</t>
        </is>
      </c>
      <c r="AZ582" t="inlineStr">
        <is>
          <t>991001541529702656</t>
        </is>
      </c>
      <c r="BA582" t="inlineStr">
        <is>
          <t>2263903330002656</t>
        </is>
      </c>
      <c r="BB582" t="inlineStr">
        <is>
          <t>BOOK</t>
        </is>
      </c>
      <c r="BE582" t="inlineStr">
        <is>
          <t>30001000635567</t>
        </is>
      </c>
      <c r="BF582" t="inlineStr">
        <is>
          <t>893451326</t>
        </is>
      </c>
    </row>
    <row r="583">
      <c r="A583" t="inlineStr">
        <is>
          <t>No</t>
        </is>
      </c>
      <c r="B583" t="inlineStr">
        <is>
          <t>CUHSL</t>
        </is>
      </c>
      <c r="C583" t="inlineStr">
        <is>
          <t>SHELVES</t>
        </is>
      </c>
      <c r="D583" t="inlineStr">
        <is>
          <t>W 61 B4995s 1982a</t>
        </is>
      </c>
      <c r="E583" t="inlineStr">
        <is>
          <t>0                      W  0061000B  4995s       1982a</t>
        </is>
      </c>
      <c r="F583" t="inlineStr">
        <is>
          <t>Health care : its psychosocial dimensions / Jurrit Bergsma, David C. Thomasma.</t>
        </is>
      </c>
      <c r="H583" t="inlineStr">
        <is>
          <t>No</t>
        </is>
      </c>
      <c r="I583" t="inlineStr">
        <is>
          <t>1</t>
        </is>
      </c>
      <c r="J583" t="inlineStr">
        <is>
          <t>No</t>
        </is>
      </c>
      <c r="K583" t="inlineStr">
        <is>
          <t>No</t>
        </is>
      </c>
      <c r="L583" t="inlineStr">
        <is>
          <t>0</t>
        </is>
      </c>
      <c r="M583" t="inlineStr">
        <is>
          <t>Bergsma, Jurrit, 1934-</t>
        </is>
      </c>
      <c r="N583" t="inlineStr">
        <is>
          <t>Pittsburgh, PA. : Duguesne University Press ; Atlantic Highlands, N.J. : Distributed by Humanities Press, c1982.</t>
        </is>
      </c>
      <c r="O583" t="inlineStr">
        <is>
          <t>1982</t>
        </is>
      </c>
      <c r="P583" t="inlineStr">
        <is>
          <t>1st ed.</t>
        </is>
      </c>
      <c r="Q583" t="inlineStr">
        <is>
          <t>eng</t>
        </is>
      </c>
      <c r="R583" t="inlineStr">
        <is>
          <t>xxu</t>
        </is>
      </c>
      <c r="T583" t="inlineStr">
        <is>
          <t xml:space="preserve">W  </t>
        </is>
      </c>
      <c r="U583" t="n">
        <v>6</v>
      </c>
      <c r="V583" t="n">
        <v>6</v>
      </c>
      <c r="W583" t="inlineStr">
        <is>
          <t>2001-09-02</t>
        </is>
      </c>
      <c r="X583" t="inlineStr">
        <is>
          <t>2001-09-02</t>
        </is>
      </c>
      <c r="Y583" t="inlineStr">
        <is>
          <t>1987-12-18</t>
        </is>
      </c>
      <c r="Z583" t="inlineStr">
        <is>
          <t>1987-12-18</t>
        </is>
      </c>
      <c r="AA583" t="n">
        <v>176</v>
      </c>
      <c r="AB583" t="n">
        <v>159</v>
      </c>
      <c r="AC583" t="n">
        <v>161</v>
      </c>
      <c r="AD583" t="n">
        <v>2</v>
      </c>
      <c r="AE583" t="n">
        <v>2</v>
      </c>
      <c r="AF583" t="n">
        <v>9</v>
      </c>
      <c r="AG583" t="n">
        <v>9</v>
      </c>
      <c r="AH583" t="n">
        <v>4</v>
      </c>
      <c r="AI583" t="n">
        <v>4</v>
      </c>
      <c r="AJ583" t="n">
        <v>3</v>
      </c>
      <c r="AK583" t="n">
        <v>3</v>
      </c>
      <c r="AL583" t="n">
        <v>5</v>
      </c>
      <c r="AM583" t="n">
        <v>5</v>
      </c>
      <c r="AN583" t="n">
        <v>1</v>
      </c>
      <c r="AO583" t="n">
        <v>1</v>
      </c>
      <c r="AP583" t="n">
        <v>0</v>
      </c>
      <c r="AQ583" t="n">
        <v>0</v>
      </c>
      <c r="AR583" t="inlineStr">
        <is>
          <t>No</t>
        </is>
      </c>
      <c r="AS583" t="inlineStr">
        <is>
          <t>Yes</t>
        </is>
      </c>
      <c r="AT583">
        <f>HYPERLINK("http://catalog.hathitrust.org/Record/000762346","HathiTrust Record")</f>
        <v/>
      </c>
      <c r="AU583">
        <f>HYPERLINK("https://creighton-primo.hosted.exlibrisgroup.com/primo-explore/search?tab=default_tab&amp;search_scope=EVERYTHING&amp;vid=01CRU&amp;lang=en_US&amp;offset=0&amp;query=any,contains,991001541489702656","Catalog Record")</f>
        <v/>
      </c>
      <c r="AV583">
        <f>HYPERLINK("http://www.worldcat.org/oclc/7597832","WorldCat Record")</f>
        <v/>
      </c>
      <c r="AW583" t="inlineStr">
        <is>
          <t>29229461:eng</t>
        </is>
      </c>
      <c r="AX583" t="inlineStr">
        <is>
          <t>7597832</t>
        </is>
      </c>
      <c r="AY583" t="inlineStr">
        <is>
          <t>991001541489702656</t>
        </is>
      </c>
      <c r="AZ583" t="inlineStr">
        <is>
          <t>991001541489702656</t>
        </is>
      </c>
      <c r="BA583" t="inlineStr">
        <is>
          <t>2262356100002656</t>
        </is>
      </c>
      <c r="BB583" t="inlineStr">
        <is>
          <t>BOOK</t>
        </is>
      </c>
      <c r="BD583" t="inlineStr">
        <is>
          <t>9780391016309</t>
        </is>
      </c>
      <c r="BE583" t="inlineStr">
        <is>
          <t>30001000635575</t>
        </is>
      </c>
      <c r="BF583" t="inlineStr">
        <is>
          <t>893546800</t>
        </is>
      </c>
    </row>
    <row r="584">
      <c r="A584" t="inlineStr">
        <is>
          <t>No</t>
        </is>
      </c>
      <c r="B584" t="inlineStr">
        <is>
          <t>CUHSL</t>
        </is>
      </c>
      <c r="C584" t="inlineStr">
        <is>
          <t>SHELVES</t>
        </is>
      </c>
      <c r="D584" t="inlineStr">
        <is>
          <t>W 61 C344n 1991</t>
        </is>
      </c>
      <c r="E584" t="inlineStr">
        <is>
          <t>0                      W  0061000C  344n        1991</t>
        </is>
      </c>
      <c r="F584" t="inlineStr">
        <is>
          <t>The nature of suffering : and the goals of medicine / Eric J. Cassell.</t>
        </is>
      </c>
      <c r="H584" t="inlineStr">
        <is>
          <t>No</t>
        </is>
      </c>
      <c r="I584" t="inlineStr">
        <is>
          <t>1</t>
        </is>
      </c>
      <c r="J584" t="inlineStr">
        <is>
          <t>No</t>
        </is>
      </c>
      <c r="K584" t="inlineStr">
        <is>
          <t>Yes</t>
        </is>
      </c>
      <c r="L584" t="inlineStr">
        <is>
          <t>1</t>
        </is>
      </c>
      <c r="M584" t="inlineStr">
        <is>
          <t>Cassell, Eric J., 1928-</t>
        </is>
      </c>
      <c r="N584" t="inlineStr">
        <is>
          <t>New York : Oxford University Press, c1991.</t>
        </is>
      </c>
      <c r="O584" t="inlineStr">
        <is>
          <t>1991</t>
        </is>
      </c>
      <c r="Q584" t="inlineStr">
        <is>
          <t>eng</t>
        </is>
      </c>
      <c r="R584" t="inlineStr">
        <is>
          <t>nyu</t>
        </is>
      </c>
      <c r="T584" t="inlineStr">
        <is>
          <t xml:space="preserve">W  </t>
        </is>
      </c>
      <c r="U584" t="n">
        <v>9</v>
      </c>
      <c r="V584" t="n">
        <v>9</v>
      </c>
      <c r="W584" t="inlineStr">
        <is>
          <t>2006-11-16</t>
        </is>
      </c>
      <c r="X584" t="inlineStr">
        <is>
          <t>2006-11-16</t>
        </is>
      </c>
      <c r="Y584" t="inlineStr">
        <is>
          <t>1992-02-05</t>
        </is>
      </c>
      <c r="Z584" t="inlineStr">
        <is>
          <t>1992-02-05</t>
        </is>
      </c>
      <c r="AA584" t="n">
        <v>597</v>
      </c>
      <c r="AB584" t="n">
        <v>493</v>
      </c>
      <c r="AC584" t="n">
        <v>1525</v>
      </c>
      <c r="AD584" t="n">
        <v>2</v>
      </c>
      <c r="AE584" t="n">
        <v>15</v>
      </c>
      <c r="AF584" t="n">
        <v>22</v>
      </c>
      <c r="AG584" t="n">
        <v>65</v>
      </c>
      <c r="AH584" t="n">
        <v>8</v>
      </c>
      <c r="AI584" t="n">
        <v>21</v>
      </c>
      <c r="AJ584" t="n">
        <v>5</v>
      </c>
      <c r="AK584" t="n">
        <v>12</v>
      </c>
      <c r="AL584" t="n">
        <v>9</v>
      </c>
      <c r="AM584" t="n">
        <v>25</v>
      </c>
      <c r="AN584" t="n">
        <v>1</v>
      </c>
      <c r="AO584" t="n">
        <v>13</v>
      </c>
      <c r="AP584" t="n">
        <v>1</v>
      </c>
      <c r="AQ584" t="n">
        <v>5</v>
      </c>
      <c r="AR584" t="inlineStr">
        <is>
          <t>No</t>
        </is>
      </c>
      <c r="AS584" t="inlineStr">
        <is>
          <t>No</t>
        </is>
      </c>
      <c r="AU584">
        <f>HYPERLINK("https://creighton-primo.hosted.exlibrisgroup.com/primo-explore/search?tab=default_tab&amp;search_scope=EVERYTHING&amp;vid=01CRU&amp;lang=en_US&amp;offset=0&amp;query=any,contains,991001031949702656","Catalog Record")</f>
        <v/>
      </c>
      <c r="AV584">
        <f>HYPERLINK("http://www.worldcat.org/oclc/21901325","WorldCat Record")</f>
        <v/>
      </c>
      <c r="AW584" t="inlineStr">
        <is>
          <t>1060647:eng</t>
        </is>
      </c>
      <c r="AX584" t="inlineStr">
        <is>
          <t>21901325</t>
        </is>
      </c>
      <c r="AY584" t="inlineStr">
        <is>
          <t>991001031949702656</t>
        </is>
      </c>
      <c r="AZ584" t="inlineStr">
        <is>
          <t>991001031949702656</t>
        </is>
      </c>
      <c r="BA584" t="inlineStr">
        <is>
          <t>2258939260002656</t>
        </is>
      </c>
      <c r="BB584" t="inlineStr">
        <is>
          <t>BOOK</t>
        </is>
      </c>
      <c r="BD584" t="inlineStr">
        <is>
          <t>9780195052220</t>
        </is>
      </c>
      <c r="BE584" t="inlineStr">
        <is>
          <t>30001002244012</t>
        </is>
      </c>
      <c r="BF584" t="inlineStr">
        <is>
          <t>893651838</t>
        </is>
      </c>
    </row>
    <row r="585">
      <c r="A585" t="inlineStr">
        <is>
          <t>No</t>
        </is>
      </c>
      <c r="B585" t="inlineStr">
        <is>
          <t>CUHSL</t>
        </is>
      </c>
      <c r="C585" t="inlineStr">
        <is>
          <t>SHELVES</t>
        </is>
      </c>
      <c r="D585" t="inlineStr">
        <is>
          <t>W61 C344n 2004</t>
        </is>
      </c>
      <c r="E585" t="inlineStr">
        <is>
          <t>0                      W  0061000C  344n        2004</t>
        </is>
      </c>
      <c r="F585" t="inlineStr">
        <is>
          <t>The nature of suffering and the goals of medicine / Eric J. Cassell.</t>
        </is>
      </c>
      <c r="H585" t="inlineStr">
        <is>
          <t>No</t>
        </is>
      </c>
      <c r="I585" t="inlineStr">
        <is>
          <t>1</t>
        </is>
      </c>
      <c r="J585" t="inlineStr">
        <is>
          <t>No</t>
        </is>
      </c>
      <c r="K585" t="inlineStr">
        <is>
          <t>Yes</t>
        </is>
      </c>
      <c r="L585" t="inlineStr">
        <is>
          <t>1</t>
        </is>
      </c>
      <c r="M585" t="inlineStr">
        <is>
          <t>Cassell, Eric J., 1928-</t>
        </is>
      </c>
      <c r="N585" t="inlineStr">
        <is>
          <t>New York : Oxford University Press, 2004.</t>
        </is>
      </c>
      <c r="O585" t="inlineStr">
        <is>
          <t>2004</t>
        </is>
      </c>
      <c r="P585" t="inlineStr">
        <is>
          <t>2nd ed.</t>
        </is>
      </c>
      <c r="Q585" t="inlineStr">
        <is>
          <t>eng</t>
        </is>
      </c>
      <c r="R585" t="inlineStr">
        <is>
          <t>nyu</t>
        </is>
      </c>
      <c r="T585" t="inlineStr">
        <is>
          <t xml:space="preserve">W  </t>
        </is>
      </c>
      <c r="U585" t="n">
        <v>6</v>
      </c>
      <c r="V585" t="n">
        <v>6</v>
      </c>
      <c r="W585" t="inlineStr">
        <is>
          <t>2009-08-06</t>
        </is>
      </c>
      <c r="X585" t="inlineStr">
        <is>
          <t>2009-08-06</t>
        </is>
      </c>
      <c r="Y585" t="inlineStr">
        <is>
          <t>2004-11-01</t>
        </is>
      </c>
      <c r="Z585" t="inlineStr">
        <is>
          <t>2004-11-01</t>
        </is>
      </c>
      <c r="AA585" t="n">
        <v>365</v>
      </c>
      <c r="AB585" t="n">
        <v>280</v>
      </c>
      <c r="AC585" t="n">
        <v>1525</v>
      </c>
      <c r="AD585" t="n">
        <v>3</v>
      </c>
      <c r="AE585" t="n">
        <v>15</v>
      </c>
      <c r="AF585" t="n">
        <v>17</v>
      </c>
      <c r="AG585" t="n">
        <v>65</v>
      </c>
      <c r="AH585" t="n">
        <v>4</v>
      </c>
      <c r="AI585" t="n">
        <v>21</v>
      </c>
      <c r="AJ585" t="n">
        <v>5</v>
      </c>
      <c r="AK585" t="n">
        <v>12</v>
      </c>
      <c r="AL585" t="n">
        <v>8</v>
      </c>
      <c r="AM585" t="n">
        <v>25</v>
      </c>
      <c r="AN585" t="n">
        <v>2</v>
      </c>
      <c r="AO585" t="n">
        <v>13</v>
      </c>
      <c r="AP585" t="n">
        <v>2</v>
      </c>
      <c r="AQ585" t="n">
        <v>5</v>
      </c>
      <c r="AR585" t="inlineStr">
        <is>
          <t>No</t>
        </is>
      </c>
      <c r="AS585" t="inlineStr">
        <is>
          <t>No</t>
        </is>
      </c>
      <c r="AU585">
        <f>HYPERLINK("https://creighton-primo.hosted.exlibrisgroup.com/primo-explore/search?tab=default_tab&amp;search_scope=EVERYTHING&amp;vid=01CRU&amp;lang=en_US&amp;offset=0&amp;query=any,contains,991000404339702656","Catalog Record")</f>
        <v/>
      </c>
      <c r="AV585">
        <f>HYPERLINK("http://www.worldcat.org/oclc/51278448","WorldCat Record")</f>
        <v/>
      </c>
      <c r="AW585" t="inlineStr">
        <is>
          <t>1060647:eng</t>
        </is>
      </c>
      <c r="AX585" t="inlineStr">
        <is>
          <t>51278448</t>
        </is>
      </c>
      <c r="AY585" t="inlineStr">
        <is>
          <t>991000404339702656</t>
        </is>
      </c>
      <c r="AZ585" t="inlineStr">
        <is>
          <t>991000404339702656</t>
        </is>
      </c>
      <c r="BA585" t="inlineStr">
        <is>
          <t>2254761050002656</t>
        </is>
      </c>
      <c r="BB585" t="inlineStr">
        <is>
          <t>BOOK</t>
        </is>
      </c>
      <c r="BD585" t="inlineStr">
        <is>
          <t>9780195156164</t>
        </is>
      </c>
      <c r="BE585" t="inlineStr">
        <is>
          <t>30001004924165</t>
        </is>
      </c>
      <c r="BF585" t="inlineStr">
        <is>
          <t>893728345</t>
        </is>
      </c>
    </row>
    <row r="586">
      <c r="A586" t="inlineStr">
        <is>
          <t>No</t>
        </is>
      </c>
      <c r="B586" t="inlineStr">
        <is>
          <t>CUHSL</t>
        </is>
      </c>
      <c r="C586" t="inlineStr">
        <is>
          <t>SHELVES</t>
        </is>
      </c>
      <c r="D586" t="inlineStr">
        <is>
          <t>W 61 C676 1986</t>
        </is>
      </c>
      <c r="E586" t="inlineStr">
        <is>
          <t>0                      W  0061000C  676         1986</t>
        </is>
      </c>
      <c r="F586" t="inlineStr">
        <is>
          <t>Cognitive science in medicine : biomedical modeling / David A. Evans, Vimla L. Patel, editors.</t>
        </is>
      </c>
      <c r="H586" t="inlineStr">
        <is>
          <t>No</t>
        </is>
      </c>
      <c r="I586" t="inlineStr">
        <is>
          <t>1</t>
        </is>
      </c>
      <c r="J586" t="inlineStr">
        <is>
          <t>No</t>
        </is>
      </c>
      <c r="K586" t="inlineStr">
        <is>
          <t>No</t>
        </is>
      </c>
      <c r="L586" t="inlineStr">
        <is>
          <t>0</t>
        </is>
      </c>
      <c r="N586" t="inlineStr">
        <is>
          <t>Cambridge, Mass. : MIT Press, c1989.</t>
        </is>
      </c>
      <c r="O586" t="inlineStr">
        <is>
          <t>1989</t>
        </is>
      </c>
      <c r="Q586" t="inlineStr">
        <is>
          <t>eng</t>
        </is>
      </c>
      <c r="R586" t="inlineStr">
        <is>
          <t>xxu</t>
        </is>
      </c>
      <c r="T586" t="inlineStr">
        <is>
          <t xml:space="preserve">W  </t>
        </is>
      </c>
      <c r="U586" t="n">
        <v>14</v>
      </c>
      <c r="V586" t="n">
        <v>14</v>
      </c>
      <c r="W586" t="inlineStr">
        <is>
          <t>1996-04-11</t>
        </is>
      </c>
      <c r="X586" t="inlineStr">
        <is>
          <t>1996-04-11</t>
        </is>
      </c>
      <c r="Y586" t="inlineStr">
        <is>
          <t>1990-06-15</t>
        </is>
      </c>
      <c r="Z586" t="inlineStr">
        <is>
          <t>1990-06-15</t>
        </is>
      </c>
      <c r="AA586" t="n">
        <v>247</v>
      </c>
      <c r="AB586" t="n">
        <v>182</v>
      </c>
      <c r="AC586" t="n">
        <v>215</v>
      </c>
      <c r="AD586" t="n">
        <v>1</v>
      </c>
      <c r="AE586" t="n">
        <v>1</v>
      </c>
      <c r="AF586" t="n">
        <v>7</v>
      </c>
      <c r="AG586" t="n">
        <v>7</v>
      </c>
      <c r="AH586" t="n">
        <v>2</v>
      </c>
      <c r="AI586" t="n">
        <v>2</v>
      </c>
      <c r="AJ586" t="n">
        <v>2</v>
      </c>
      <c r="AK586" t="n">
        <v>2</v>
      </c>
      <c r="AL586" t="n">
        <v>7</v>
      </c>
      <c r="AM586" t="n">
        <v>7</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HYPERLINK("https://creighton-primo.hosted.exlibrisgroup.com/primo-explore/search?tab=default_tab&amp;search_scope=EVERYTHING&amp;vid=01CRU&amp;lang=en_US&amp;offset=0&amp;query=any,contains,991001370509702656","Catalog Record")</f>
        <v/>
      </c>
      <c r="AV586">
        <f>HYPERLINK("http://www.worldcat.org/oclc/17107015","WorldCat Record")</f>
        <v/>
      </c>
      <c r="AW586" t="inlineStr">
        <is>
          <t>836735484:eng</t>
        </is>
      </c>
      <c r="AX586" t="inlineStr">
        <is>
          <t>17107015</t>
        </is>
      </c>
      <c r="AY586" t="inlineStr">
        <is>
          <t>991001370509702656</t>
        </is>
      </c>
      <c r="AZ586" t="inlineStr">
        <is>
          <t>991001370509702656</t>
        </is>
      </c>
      <c r="BA586" t="inlineStr">
        <is>
          <t>2255403160002656</t>
        </is>
      </c>
      <c r="BB586" t="inlineStr">
        <is>
          <t>BOOK</t>
        </is>
      </c>
      <c r="BD586" t="inlineStr">
        <is>
          <t>9780262050371</t>
        </is>
      </c>
      <c r="BE586" t="inlineStr">
        <is>
          <t>30001001797713</t>
        </is>
      </c>
      <c r="BF586" t="inlineStr">
        <is>
          <t>893161920</t>
        </is>
      </c>
    </row>
    <row r="587">
      <c r="A587" t="inlineStr">
        <is>
          <t>No</t>
        </is>
      </c>
      <c r="B587" t="inlineStr">
        <is>
          <t>CUHSL</t>
        </is>
      </c>
      <c r="C587" t="inlineStr">
        <is>
          <t>SHELVES</t>
        </is>
      </c>
      <c r="D587" t="inlineStr">
        <is>
          <t>W 61 C744 1981</t>
        </is>
      </c>
      <c r="E587" t="inlineStr">
        <is>
          <t>0                      W  0061000C  744         1981</t>
        </is>
      </c>
      <c r="F587" t="inlineStr">
        <is>
          <t>Concepts of health and disease : interdisciplinary perspectives / [edited by] Arthur L. Caplan, H. Tristram Engelhardt, Jr., James J. McCartney.</t>
        </is>
      </c>
      <c r="H587" t="inlineStr">
        <is>
          <t>No</t>
        </is>
      </c>
      <c r="I587" t="inlineStr">
        <is>
          <t>1</t>
        </is>
      </c>
      <c r="J587" t="inlineStr">
        <is>
          <t>No</t>
        </is>
      </c>
      <c r="K587" t="inlineStr">
        <is>
          <t>No</t>
        </is>
      </c>
      <c r="L587" t="inlineStr">
        <is>
          <t>0</t>
        </is>
      </c>
      <c r="N587" t="inlineStr">
        <is>
          <t>Reading, Mass. : Addison-Wesley Pub. Co., Advanced Book Program, c1981.</t>
        </is>
      </c>
      <c r="O587" t="inlineStr">
        <is>
          <t>1981</t>
        </is>
      </c>
      <c r="Q587" t="inlineStr">
        <is>
          <t>eng</t>
        </is>
      </c>
      <c r="R587" t="inlineStr">
        <is>
          <t>xxu</t>
        </is>
      </c>
      <c r="T587" t="inlineStr">
        <is>
          <t xml:space="preserve">W  </t>
        </is>
      </c>
      <c r="U587" t="n">
        <v>5</v>
      </c>
      <c r="V587" t="n">
        <v>5</v>
      </c>
      <c r="W587" t="inlineStr">
        <is>
          <t>1998-09-12</t>
        </is>
      </c>
      <c r="X587" t="inlineStr">
        <is>
          <t>1998-09-12</t>
        </is>
      </c>
      <c r="Y587" t="inlineStr">
        <is>
          <t>1987-12-18</t>
        </is>
      </c>
      <c r="Z587" t="inlineStr">
        <is>
          <t>1987-12-18</t>
        </is>
      </c>
      <c r="AA587" t="n">
        <v>388</v>
      </c>
      <c r="AB587" t="n">
        <v>293</v>
      </c>
      <c r="AC587" t="n">
        <v>300</v>
      </c>
      <c r="AD587" t="n">
        <v>3</v>
      </c>
      <c r="AE587" t="n">
        <v>3</v>
      </c>
      <c r="AF587" t="n">
        <v>10</v>
      </c>
      <c r="AG587" t="n">
        <v>10</v>
      </c>
      <c r="AH587" t="n">
        <v>4</v>
      </c>
      <c r="AI587" t="n">
        <v>4</v>
      </c>
      <c r="AJ587" t="n">
        <v>2</v>
      </c>
      <c r="AK587" t="n">
        <v>2</v>
      </c>
      <c r="AL587" t="n">
        <v>7</v>
      </c>
      <c r="AM587" t="n">
        <v>7</v>
      </c>
      <c r="AN587" t="n">
        <v>2</v>
      </c>
      <c r="AO587" t="n">
        <v>2</v>
      </c>
      <c r="AP587" t="n">
        <v>0</v>
      </c>
      <c r="AQ587" t="n">
        <v>0</v>
      </c>
      <c r="AR587" t="inlineStr">
        <is>
          <t>No</t>
        </is>
      </c>
      <c r="AS587" t="inlineStr">
        <is>
          <t>Yes</t>
        </is>
      </c>
      <c r="AT587">
        <f>HYPERLINK("http://catalog.hathitrust.org/Record/000144217","HathiTrust Record")</f>
        <v/>
      </c>
      <c r="AU587">
        <f>HYPERLINK("https://creighton-primo.hosted.exlibrisgroup.com/primo-explore/search?tab=default_tab&amp;search_scope=EVERYTHING&amp;vid=01CRU&amp;lang=en_US&amp;offset=0&amp;query=any,contains,991001541569702656","Catalog Record")</f>
        <v/>
      </c>
      <c r="AV587">
        <f>HYPERLINK("http://www.worldcat.org/oclc/7284046","WorldCat Record")</f>
        <v/>
      </c>
      <c r="AW587" t="inlineStr">
        <is>
          <t>889938515:eng</t>
        </is>
      </c>
      <c r="AX587" t="inlineStr">
        <is>
          <t>7284046</t>
        </is>
      </c>
      <c r="AY587" t="inlineStr">
        <is>
          <t>991001541569702656</t>
        </is>
      </c>
      <c r="AZ587" t="inlineStr">
        <is>
          <t>991001541569702656</t>
        </is>
      </c>
      <c r="BA587" t="inlineStr">
        <is>
          <t>2254751260002656</t>
        </is>
      </c>
      <c r="BB587" t="inlineStr">
        <is>
          <t>BOOK</t>
        </is>
      </c>
      <c r="BD587" t="inlineStr">
        <is>
          <t>9780201009736</t>
        </is>
      </c>
      <c r="BE587" t="inlineStr">
        <is>
          <t>30001000635591</t>
        </is>
      </c>
      <c r="BF587" t="inlineStr">
        <is>
          <t>893732152</t>
        </is>
      </c>
    </row>
    <row r="588">
      <c r="A588" t="inlineStr">
        <is>
          <t>No</t>
        </is>
      </c>
      <c r="B588" t="inlineStr">
        <is>
          <t>CUHSL</t>
        </is>
      </c>
      <c r="C588" t="inlineStr">
        <is>
          <t>SHELVES</t>
        </is>
      </c>
      <c r="D588" t="inlineStr">
        <is>
          <t>W 61 F648h 1980</t>
        </is>
      </c>
      <c r="E588" t="inlineStr">
        <is>
          <t>0                      W  0061000F  648h        1980</t>
        </is>
      </c>
      <c r="F588" t="inlineStr">
        <is>
          <t>Holistic health : the art and science of care / Patricia Anne Randolph Flynn.</t>
        </is>
      </c>
      <c r="H588" t="inlineStr">
        <is>
          <t>No</t>
        </is>
      </c>
      <c r="I588" t="inlineStr">
        <is>
          <t>1</t>
        </is>
      </c>
      <c r="J588" t="inlineStr">
        <is>
          <t>No</t>
        </is>
      </c>
      <c r="K588" t="inlineStr">
        <is>
          <t>No</t>
        </is>
      </c>
      <c r="L588" t="inlineStr">
        <is>
          <t>0</t>
        </is>
      </c>
      <c r="M588" t="inlineStr">
        <is>
          <t>Flynn, Patricia Anne Randolph.</t>
        </is>
      </c>
      <c r="N588" t="inlineStr">
        <is>
          <t>Bowie, Md. : Brady, c1980.</t>
        </is>
      </c>
      <c r="O588" t="inlineStr">
        <is>
          <t>1980</t>
        </is>
      </c>
      <c r="Q588" t="inlineStr">
        <is>
          <t>eng</t>
        </is>
      </c>
      <c r="R588" t="inlineStr">
        <is>
          <t>xxu</t>
        </is>
      </c>
      <c r="T588" t="inlineStr">
        <is>
          <t xml:space="preserve">W  </t>
        </is>
      </c>
      <c r="U588" t="n">
        <v>7</v>
      </c>
      <c r="V588" t="n">
        <v>7</v>
      </c>
      <c r="W588" t="inlineStr">
        <is>
          <t>2003-11-01</t>
        </is>
      </c>
      <c r="X588" t="inlineStr">
        <is>
          <t>2003-11-01</t>
        </is>
      </c>
      <c r="Y588" t="inlineStr">
        <is>
          <t>1987-12-18</t>
        </is>
      </c>
      <c r="Z588" t="inlineStr">
        <is>
          <t>1987-12-18</t>
        </is>
      </c>
      <c r="AA588" t="n">
        <v>308</v>
      </c>
      <c r="AB588" t="n">
        <v>264</v>
      </c>
      <c r="AC588" t="n">
        <v>272</v>
      </c>
      <c r="AD588" t="n">
        <v>2</v>
      </c>
      <c r="AE588" t="n">
        <v>2</v>
      </c>
      <c r="AF588" t="n">
        <v>11</v>
      </c>
      <c r="AG588" t="n">
        <v>11</v>
      </c>
      <c r="AH588" t="n">
        <v>3</v>
      </c>
      <c r="AI588" t="n">
        <v>3</v>
      </c>
      <c r="AJ588" t="n">
        <v>4</v>
      </c>
      <c r="AK588" t="n">
        <v>4</v>
      </c>
      <c r="AL588" t="n">
        <v>4</v>
      </c>
      <c r="AM588" t="n">
        <v>4</v>
      </c>
      <c r="AN588" t="n">
        <v>1</v>
      </c>
      <c r="AO588" t="n">
        <v>1</v>
      </c>
      <c r="AP588" t="n">
        <v>0</v>
      </c>
      <c r="AQ588" t="n">
        <v>0</v>
      </c>
      <c r="AR588" t="inlineStr">
        <is>
          <t>No</t>
        </is>
      </c>
      <c r="AS588" t="inlineStr">
        <is>
          <t>Yes</t>
        </is>
      </c>
      <c r="AT588">
        <f>HYPERLINK("http://catalog.hathitrust.org/Record/000718816","HathiTrust Record")</f>
        <v/>
      </c>
      <c r="AU588">
        <f>HYPERLINK("https://creighton-primo.hosted.exlibrisgroup.com/primo-explore/search?tab=default_tab&amp;search_scope=EVERYTHING&amp;vid=01CRU&amp;lang=en_US&amp;offset=0&amp;query=any,contains,991001541629702656","Catalog Record")</f>
        <v/>
      </c>
      <c r="AV588">
        <f>HYPERLINK("http://www.worldcat.org/oclc/5894380","WorldCat Record")</f>
        <v/>
      </c>
      <c r="AW588" t="inlineStr">
        <is>
          <t>363434404:eng</t>
        </is>
      </c>
      <c r="AX588" t="inlineStr">
        <is>
          <t>5894380</t>
        </is>
      </c>
      <c r="AY588" t="inlineStr">
        <is>
          <t>991001541629702656</t>
        </is>
      </c>
      <c r="AZ588" t="inlineStr">
        <is>
          <t>991001541629702656</t>
        </is>
      </c>
      <c r="BA588" t="inlineStr">
        <is>
          <t>2267578660002656</t>
        </is>
      </c>
      <c r="BB588" t="inlineStr">
        <is>
          <t>BOOK</t>
        </is>
      </c>
      <c r="BD588" t="inlineStr">
        <is>
          <t>9780876196267</t>
        </is>
      </c>
      <c r="BE588" t="inlineStr">
        <is>
          <t>30001000635625</t>
        </is>
      </c>
      <c r="BF588" t="inlineStr">
        <is>
          <t>893834721</t>
        </is>
      </c>
    </row>
    <row r="589">
      <c r="A589" t="inlineStr">
        <is>
          <t>No</t>
        </is>
      </c>
      <c r="B589" t="inlineStr">
        <is>
          <t>CUHSL</t>
        </is>
      </c>
      <c r="C589" t="inlineStr">
        <is>
          <t>SHELVES</t>
        </is>
      </c>
      <c r="D589" t="inlineStr">
        <is>
          <t>W 61 G629L 1994</t>
        </is>
      </c>
      <c r="E589" t="inlineStr">
        <is>
          <t>0                      W  0061000G  629L        1994</t>
        </is>
      </c>
      <c r="F589" t="inlineStr">
        <is>
          <t>The limits of medicine : how science shapes our hope for the cure / Edward S. Golub.</t>
        </is>
      </c>
      <c r="H589" t="inlineStr">
        <is>
          <t>No</t>
        </is>
      </c>
      <c r="I589" t="inlineStr">
        <is>
          <t>1</t>
        </is>
      </c>
      <c r="J589" t="inlineStr">
        <is>
          <t>No</t>
        </is>
      </c>
      <c r="K589" t="inlineStr">
        <is>
          <t>No</t>
        </is>
      </c>
      <c r="L589" t="inlineStr">
        <is>
          <t>0</t>
        </is>
      </c>
      <c r="M589" t="inlineStr">
        <is>
          <t>Golub, Edward S., 1934-2018.</t>
        </is>
      </c>
      <c r="N589" t="inlineStr">
        <is>
          <t>New York : Times Books, c1994.</t>
        </is>
      </c>
      <c r="O589" t="inlineStr">
        <is>
          <t>1994</t>
        </is>
      </c>
      <c r="P589" t="inlineStr">
        <is>
          <t>1st ed.</t>
        </is>
      </c>
      <c r="Q589" t="inlineStr">
        <is>
          <t>eng</t>
        </is>
      </c>
      <c r="R589" t="inlineStr">
        <is>
          <t>nyu</t>
        </is>
      </c>
      <c r="T589" t="inlineStr">
        <is>
          <t xml:space="preserve">W  </t>
        </is>
      </c>
      <c r="U589" t="n">
        <v>11</v>
      </c>
      <c r="V589" t="n">
        <v>11</v>
      </c>
      <c r="W589" t="inlineStr">
        <is>
          <t>2000-07-21</t>
        </is>
      </c>
      <c r="X589" t="inlineStr">
        <is>
          <t>2000-07-21</t>
        </is>
      </c>
      <c r="Y589" t="inlineStr">
        <is>
          <t>1995-01-20</t>
        </is>
      </c>
      <c r="Z589" t="inlineStr">
        <is>
          <t>1995-01-20</t>
        </is>
      </c>
      <c r="AA589" t="n">
        <v>516</v>
      </c>
      <c r="AB589" t="n">
        <v>464</v>
      </c>
      <c r="AC589" t="n">
        <v>538</v>
      </c>
      <c r="AD589" t="n">
        <v>2</v>
      </c>
      <c r="AE589" t="n">
        <v>2</v>
      </c>
      <c r="AF589" t="n">
        <v>15</v>
      </c>
      <c r="AG589" t="n">
        <v>16</v>
      </c>
      <c r="AH589" t="n">
        <v>5</v>
      </c>
      <c r="AI589" t="n">
        <v>6</v>
      </c>
      <c r="AJ589" t="n">
        <v>4</v>
      </c>
      <c r="AK589" t="n">
        <v>4</v>
      </c>
      <c r="AL589" t="n">
        <v>9</v>
      </c>
      <c r="AM589" t="n">
        <v>9</v>
      </c>
      <c r="AN589" t="n">
        <v>1</v>
      </c>
      <c r="AO589" t="n">
        <v>1</v>
      </c>
      <c r="AP589" t="n">
        <v>0</v>
      </c>
      <c r="AQ589" t="n">
        <v>0</v>
      </c>
      <c r="AR589" t="inlineStr">
        <is>
          <t>No</t>
        </is>
      </c>
      <c r="AS589" t="inlineStr">
        <is>
          <t>No</t>
        </is>
      </c>
      <c r="AU589">
        <f>HYPERLINK("https://creighton-primo.hosted.exlibrisgroup.com/primo-explore/search?tab=default_tab&amp;search_scope=EVERYTHING&amp;vid=01CRU&amp;lang=en_US&amp;offset=0&amp;query=any,contains,991000685809702656","Catalog Record")</f>
        <v/>
      </c>
      <c r="AV589">
        <f>HYPERLINK("http://www.worldcat.org/oclc/30030323","WorldCat Record")</f>
        <v/>
      </c>
      <c r="AW589" t="inlineStr">
        <is>
          <t>837037192:eng</t>
        </is>
      </c>
      <c r="AX589" t="inlineStr">
        <is>
          <t>30030323</t>
        </is>
      </c>
      <c r="AY589" t="inlineStr">
        <is>
          <t>991000685809702656</t>
        </is>
      </c>
      <c r="AZ589" t="inlineStr">
        <is>
          <t>991000685809702656</t>
        </is>
      </c>
      <c r="BA589" t="inlineStr">
        <is>
          <t>2269050410002656</t>
        </is>
      </c>
      <c r="BB589" t="inlineStr">
        <is>
          <t>BOOK</t>
        </is>
      </c>
      <c r="BD589" t="inlineStr">
        <is>
          <t>9780812921410</t>
        </is>
      </c>
      <c r="BE589" t="inlineStr">
        <is>
          <t>30001002698910</t>
        </is>
      </c>
      <c r="BF589" t="inlineStr">
        <is>
          <t>893642341</t>
        </is>
      </c>
    </row>
    <row r="590">
      <c r="A590" t="inlineStr">
        <is>
          <t>No</t>
        </is>
      </c>
      <c r="B590" t="inlineStr">
        <is>
          <t>CUHSL</t>
        </is>
      </c>
      <c r="C590" t="inlineStr">
        <is>
          <t>SHELVES</t>
        </is>
      </c>
      <c r="D590" t="inlineStr">
        <is>
          <t>W 61 G878p 1982</t>
        </is>
      </c>
      <c r="E590" t="inlineStr">
        <is>
          <t>0                      W  0061000G  878p        1982</t>
        </is>
      </c>
      <c r="F590" t="inlineStr">
        <is>
          <t>Planet medicine : from Stone Age shamanism to post-industrial healing / by Richard Grossinger.</t>
        </is>
      </c>
      <c r="H590" t="inlineStr">
        <is>
          <t>No</t>
        </is>
      </c>
      <c r="I590" t="inlineStr">
        <is>
          <t>1</t>
        </is>
      </c>
      <c r="J590" t="inlineStr">
        <is>
          <t>No</t>
        </is>
      </c>
      <c r="K590" t="inlineStr">
        <is>
          <t>Yes</t>
        </is>
      </c>
      <c r="L590" t="inlineStr">
        <is>
          <t>0</t>
        </is>
      </c>
      <c r="M590" t="inlineStr">
        <is>
          <t>Grossinger, Richard, 1944-</t>
        </is>
      </c>
      <c r="N590" t="inlineStr">
        <is>
          <t>Boulder, Colo. : Shambhala ; [New York] : Distributed in the U.S. by Random House, c1982.</t>
        </is>
      </c>
      <c r="O590" t="inlineStr">
        <is>
          <t>1982</t>
        </is>
      </c>
      <c r="P590" t="inlineStr">
        <is>
          <t>Rev. ed., 1st Shambhala ed.</t>
        </is>
      </c>
      <c r="Q590" t="inlineStr">
        <is>
          <t>eng</t>
        </is>
      </c>
      <c r="R590" t="inlineStr">
        <is>
          <t>xxu</t>
        </is>
      </c>
      <c r="T590" t="inlineStr">
        <is>
          <t xml:space="preserve">W  </t>
        </is>
      </c>
      <c r="U590" t="n">
        <v>4</v>
      </c>
      <c r="V590" t="n">
        <v>4</v>
      </c>
      <c r="W590" t="inlineStr">
        <is>
          <t>2003-11-01</t>
        </is>
      </c>
      <c r="X590" t="inlineStr">
        <is>
          <t>2003-11-01</t>
        </is>
      </c>
      <c r="Y590" t="inlineStr">
        <is>
          <t>1987-12-18</t>
        </is>
      </c>
      <c r="Z590" t="inlineStr">
        <is>
          <t>1987-12-18</t>
        </is>
      </c>
      <c r="AA590" t="n">
        <v>146</v>
      </c>
      <c r="AB590" t="n">
        <v>113</v>
      </c>
      <c r="AC590" t="n">
        <v>324</v>
      </c>
      <c r="AD590" t="n">
        <v>1</v>
      </c>
      <c r="AE590" t="n">
        <v>3</v>
      </c>
      <c r="AF590" t="n">
        <v>3</v>
      </c>
      <c r="AG590" t="n">
        <v>10</v>
      </c>
      <c r="AH590" t="n">
        <v>1</v>
      </c>
      <c r="AI590" t="n">
        <v>6</v>
      </c>
      <c r="AJ590" t="n">
        <v>1</v>
      </c>
      <c r="AK590" t="n">
        <v>2</v>
      </c>
      <c r="AL590" t="n">
        <v>2</v>
      </c>
      <c r="AM590" t="n">
        <v>5</v>
      </c>
      <c r="AN590" t="n">
        <v>0</v>
      </c>
      <c r="AO590" t="n">
        <v>1</v>
      </c>
      <c r="AP590" t="n">
        <v>0</v>
      </c>
      <c r="AQ590" t="n">
        <v>0</v>
      </c>
      <c r="AR590" t="inlineStr">
        <is>
          <t>No</t>
        </is>
      </c>
      <c r="AS590" t="inlineStr">
        <is>
          <t>No</t>
        </is>
      </c>
      <c r="AU590">
        <f>HYPERLINK("https://creighton-primo.hosted.exlibrisgroup.com/primo-explore/search?tab=default_tab&amp;search_scope=EVERYTHING&amp;vid=01CRU&amp;lang=en_US&amp;offset=0&amp;query=any,contains,991001541679702656","Catalog Record")</f>
        <v/>
      </c>
      <c r="AV590">
        <f>HYPERLINK("http://www.worldcat.org/oclc/8494022","WorldCat Record")</f>
        <v/>
      </c>
      <c r="AW590" t="inlineStr">
        <is>
          <t>464085:eng</t>
        </is>
      </c>
      <c r="AX590" t="inlineStr">
        <is>
          <t>8494022</t>
        </is>
      </c>
      <c r="AY590" t="inlineStr">
        <is>
          <t>991001541679702656</t>
        </is>
      </c>
      <c r="AZ590" t="inlineStr">
        <is>
          <t>991001541679702656</t>
        </is>
      </c>
      <c r="BA590" t="inlineStr">
        <is>
          <t>2269513310002656</t>
        </is>
      </c>
      <c r="BB590" t="inlineStr">
        <is>
          <t>BOOK</t>
        </is>
      </c>
      <c r="BD590" t="inlineStr">
        <is>
          <t>9780394712383</t>
        </is>
      </c>
      <c r="BE590" t="inlineStr">
        <is>
          <t>30001000635633</t>
        </is>
      </c>
      <c r="BF590" t="inlineStr">
        <is>
          <t>893741238</t>
        </is>
      </c>
    </row>
    <row r="591">
      <c r="A591" t="inlineStr">
        <is>
          <t>No</t>
        </is>
      </c>
      <c r="B591" t="inlineStr">
        <is>
          <t>CUHSL</t>
        </is>
      </c>
      <c r="C591" t="inlineStr">
        <is>
          <t>SHELVES</t>
        </is>
      </c>
      <c r="D591" t="inlineStr">
        <is>
          <t>W61 H236 2001</t>
        </is>
      </c>
      <c r="E591" t="inlineStr">
        <is>
          <t>0                      W  0061000H  236         2001</t>
        </is>
      </c>
      <c r="F591" t="inlineStr">
        <is>
          <t>Handbook of phenomenology and medicine / edited by S. Kay Toombs.</t>
        </is>
      </c>
      <c r="H591" t="inlineStr">
        <is>
          <t>No</t>
        </is>
      </c>
      <c r="I591" t="inlineStr">
        <is>
          <t>1</t>
        </is>
      </c>
      <c r="J591" t="inlineStr">
        <is>
          <t>No</t>
        </is>
      </c>
      <c r="K591" t="inlineStr">
        <is>
          <t>No</t>
        </is>
      </c>
      <c r="L591" t="inlineStr">
        <is>
          <t>0</t>
        </is>
      </c>
      <c r="N591" t="inlineStr">
        <is>
          <t>Dordrecht ; Boston : Kluwer Academic, c2001.</t>
        </is>
      </c>
      <c r="O591" t="inlineStr">
        <is>
          <t>2001</t>
        </is>
      </c>
      <c r="Q591" t="inlineStr">
        <is>
          <t>eng</t>
        </is>
      </c>
      <c r="R591" t="inlineStr">
        <is>
          <t xml:space="preserve">ne </t>
        </is>
      </c>
      <c r="S591" t="inlineStr">
        <is>
          <t>Philosophy and medicine ; v. 68</t>
        </is>
      </c>
      <c r="T591" t="inlineStr">
        <is>
          <t xml:space="preserve">W  </t>
        </is>
      </c>
      <c r="U591" t="n">
        <v>4</v>
      </c>
      <c r="V591" t="n">
        <v>4</v>
      </c>
      <c r="W591" t="inlineStr">
        <is>
          <t>2007-02-16</t>
        </is>
      </c>
      <c r="X591" t="inlineStr">
        <is>
          <t>2007-02-16</t>
        </is>
      </c>
      <c r="Y591" t="inlineStr">
        <is>
          <t>2003-04-03</t>
        </is>
      </c>
      <c r="Z591" t="inlineStr">
        <is>
          <t>2003-04-03</t>
        </is>
      </c>
      <c r="AA591" t="n">
        <v>220</v>
      </c>
      <c r="AB591" t="n">
        <v>158</v>
      </c>
      <c r="AC591" t="n">
        <v>176</v>
      </c>
      <c r="AD591" t="n">
        <v>1</v>
      </c>
      <c r="AE591" t="n">
        <v>1</v>
      </c>
      <c r="AF591" t="n">
        <v>17</v>
      </c>
      <c r="AG591" t="n">
        <v>18</v>
      </c>
      <c r="AH591" t="n">
        <v>5</v>
      </c>
      <c r="AI591" t="n">
        <v>6</v>
      </c>
      <c r="AJ591" t="n">
        <v>7</v>
      </c>
      <c r="AK591" t="n">
        <v>7</v>
      </c>
      <c r="AL591" t="n">
        <v>12</v>
      </c>
      <c r="AM591" t="n">
        <v>13</v>
      </c>
      <c r="AN591" t="n">
        <v>0</v>
      </c>
      <c r="AO591" t="n">
        <v>0</v>
      </c>
      <c r="AP591" t="n">
        <v>0</v>
      </c>
      <c r="AQ591" t="n">
        <v>0</v>
      </c>
      <c r="AR591" t="inlineStr">
        <is>
          <t>No</t>
        </is>
      </c>
      <c r="AS591" t="inlineStr">
        <is>
          <t>No</t>
        </is>
      </c>
      <c r="AU591">
        <f>HYPERLINK("https://creighton-primo.hosted.exlibrisgroup.com/primo-explore/search?tab=default_tab&amp;search_scope=EVERYTHING&amp;vid=01CRU&amp;lang=en_US&amp;offset=0&amp;query=any,contains,991000343199702656","Catalog Record")</f>
        <v/>
      </c>
      <c r="AV591">
        <f>HYPERLINK("http://www.worldcat.org/oclc/48390853","WorldCat Record")</f>
        <v/>
      </c>
      <c r="AW591" t="inlineStr">
        <is>
          <t>37750560:eng</t>
        </is>
      </c>
      <c r="AX591" t="inlineStr">
        <is>
          <t>48390853</t>
        </is>
      </c>
      <c r="AY591" t="inlineStr">
        <is>
          <t>991000343199702656</t>
        </is>
      </c>
      <c r="AZ591" t="inlineStr">
        <is>
          <t>991000343199702656</t>
        </is>
      </c>
      <c r="BA591" t="inlineStr">
        <is>
          <t>2258680800002656</t>
        </is>
      </c>
      <c r="BB591" t="inlineStr">
        <is>
          <t>BOOK</t>
        </is>
      </c>
      <c r="BD591" t="inlineStr">
        <is>
          <t>9781402001512</t>
        </is>
      </c>
      <c r="BE591" t="inlineStr">
        <is>
          <t>30001004503902</t>
        </is>
      </c>
      <c r="BF591" t="inlineStr">
        <is>
          <t>893370399</t>
        </is>
      </c>
    </row>
    <row r="592">
      <c r="A592" t="inlineStr">
        <is>
          <t>No</t>
        </is>
      </c>
      <c r="B592" t="inlineStr">
        <is>
          <t>CUHSL</t>
        </is>
      </c>
      <c r="C592" t="inlineStr">
        <is>
          <t>SHELVES</t>
        </is>
      </c>
      <c r="D592" t="inlineStr">
        <is>
          <t>W 61 H434 1980</t>
        </is>
      </c>
      <c r="E592" t="inlineStr">
        <is>
          <t>0                      W  0061000H  434         1980</t>
        </is>
      </c>
      <c r="F592" t="inlineStr">
        <is>
          <t>The healing continuum : journeys in the philosophy of holistic health / edited by Patricia Anne Randolph Flynn.</t>
        </is>
      </c>
      <c r="H592" t="inlineStr">
        <is>
          <t>No</t>
        </is>
      </c>
      <c r="I592" t="inlineStr">
        <is>
          <t>1</t>
        </is>
      </c>
      <c r="J592" t="inlineStr">
        <is>
          <t>No</t>
        </is>
      </c>
      <c r="K592" t="inlineStr">
        <is>
          <t>No</t>
        </is>
      </c>
      <c r="L592" t="inlineStr">
        <is>
          <t>0</t>
        </is>
      </c>
      <c r="N592" t="inlineStr">
        <is>
          <t>Bowie, Md. : Brady, c1980.</t>
        </is>
      </c>
      <c r="O592" t="inlineStr">
        <is>
          <t>1980</t>
        </is>
      </c>
      <c r="Q592" t="inlineStr">
        <is>
          <t>eng</t>
        </is>
      </c>
      <c r="R592" t="inlineStr">
        <is>
          <t>xxu</t>
        </is>
      </c>
      <c r="T592" t="inlineStr">
        <is>
          <t xml:space="preserve">W  </t>
        </is>
      </c>
      <c r="U592" t="n">
        <v>5</v>
      </c>
      <c r="V592" t="n">
        <v>5</v>
      </c>
      <c r="W592" t="inlineStr">
        <is>
          <t>1995-11-24</t>
        </is>
      </c>
      <c r="X592" t="inlineStr">
        <is>
          <t>1995-11-24</t>
        </is>
      </c>
      <c r="Y592" t="inlineStr">
        <is>
          <t>1987-12-18</t>
        </is>
      </c>
      <c r="Z592" t="inlineStr">
        <is>
          <t>1987-12-18</t>
        </is>
      </c>
      <c r="AA592" t="n">
        <v>176</v>
      </c>
      <c r="AB592" t="n">
        <v>157</v>
      </c>
      <c r="AC592" t="n">
        <v>157</v>
      </c>
      <c r="AD592" t="n">
        <v>2</v>
      </c>
      <c r="AE592" t="n">
        <v>2</v>
      </c>
      <c r="AF592" t="n">
        <v>5</v>
      </c>
      <c r="AG592" t="n">
        <v>5</v>
      </c>
      <c r="AH592" t="n">
        <v>1</v>
      </c>
      <c r="AI592" t="n">
        <v>1</v>
      </c>
      <c r="AJ592" t="n">
        <v>2</v>
      </c>
      <c r="AK592" t="n">
        <v>2</v>
      </c>
      <c r="AL592" t="n">
        <v>3</v>
      </c>
      <c r="AM592" t="n">
        <v>3</v>
      </c>
      <c r="AN592" t="n">
        <v>1</v>
      </c>
      <c r="AO592" t="n">
        <v>1</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HYPERLINK("https://creighton-primo.hosted.exlibrisgroup.com/primo-explore/search?tab=default_tab&amp;search_scope=EVERYTHING&amp;vid=01CRU&amp;lang=en_US&amp;offset=0&amp;query=any,contains,991001541719702656","Catalog Record")</f>
        <v/>
      </c>
      <c r="AV592">
        <f>HYPERLINK("http://www.worldcat.org/oclc/6277623","WorldCat Record")</f>
        <v/>
      </c>
      <c r="AW592" t="inlineStr">
        <is>
          <t>180819743:eng</t>
        </is>
      </c>
      <c r="AX592" t="inlineStr">
        <is>
          <t>6277623</t>
        </is>
      </c>
      <c r="AY592" t="inlineStr">
        <is>
          <t>991001541719702656</t>
        </is>
      </c>
      <c r="AZ592" t="inlineStr">
        <is>
          <t>991001541719702656</t>
        </is>
      </c>
      <c r="BA592" t="inlineStr">
        <is>
          <t>2261220530002656</t>
        </is>
      </c>
      <c r="BB592" t="inlineStr">
        <is>
          <t>BOOK</t>
        </is>
      </c>
      <c r="BD592" t="inlineStr">
        <is>
          <t>9780876196700</t>
        </is>
      </c>
      <c r="BE592" t="inlineStr">
        <is>
          <t>30001000635641</t>
        </is>
      </c>
      <c r="BF592" t="inlineStr">
        <is>
          <t>893149323</t>
        </is>
      </c>
    </row>
    <row r="593">
      <c r="A593" t="inlineStr">
        <is>
          <t>No</t>
        </is>
      </c>
      <c r="B593" t="inlineStr">
        <is>
          <t>CUHSL</t>
        </is>
      </c>
      <c r="C593" t="inlineStr">
        <is>
          <t>SHELVES</t>
        </is>
      </c>
      <c r="D593" t="inlineStr">
        <is>
          <t>W 61 H7322 1989</t>
        </is>
      </c>
      <c r="E593" t="inlineStr">
        <is>
          <t>0                      W  0061000H  7322        1989</t>
        </is>
      </c>
      <c r="F593" t="inlineStr">
        <is>
          <t>Holistic health promotion : a guide for practice / Barbara Montgomery Dossey ... [et al.].</t>
        </is>
      </c>
      <c r="H593" t="inlineStr">
        <is>
          <t>No</t>
        </is>
      </c>
      <c r="I593" t="inlineStr">
        <is>
          <t>1</t>
        </is>
      </c>
      <c r="J593" t="inlineStr">
        <is>
          <t>No</t>
        </is>
      </c>
      <c r="K593" t="inlineStr">
        <is>
          <t>No</t>
        </is>
      </c>
      <c r="L593" t="inlineStr">
        <is>
          <t>0</t>
        </is>
      </c>
      <c r="N593" t="inlineStr">
        <is>
          <t>Rockville, Md. : Aspen Publishers, c1989.</t>
        </is>
      </c>
      <c r="O593" t="inlineStr">
        <is>
          <t>1989</t>
        </is>
      </c>
      <c r="Q593" t="inlineStr">
        <is>
          <t>eng</t>
        </is>
      </c>
      <c r="R593" t="inlineStr">
        <is>
          <t>xxu</t>
        </is>
      </c>
      <c r="T593" t="inlineStr">
        <is>
          <t xml:space="preserve">W  </t>
        </is>
      </c>
      <c r="U593" t="n">
        <v>13</v>
      </c>
      <c r="V593" t="n">
        <v>13</v>
      </c>
      <c r="W593" t="inlineStr">
        <is>
          <t>2008-10-14</t>
        </is>
      </c>
      <c r="X593" t="inlineStr">
        <is>
          <t>2008-10-14</t>
        </is>
      </c>
      <c r="Y593" t="inlineStr">
        <is>
          <t>1989-11-06</t>
        </is>
      </c>
      <c r="Z593" t="inlineStr">
        <is>
          <t>1989-11-06</t>
        </is>
      </c>
      <c r="AA593" t="n">
        <v>206</v>
      </c>
      <c r="AB593" t="n">
        <v>173</v>
      </c>
      <c r="AC593" t="n">
        <v>173</v>
      </c>
      <c r="AD593" t="n">
        <v>2</v>
      </c>
      <c r="AE593" t="n">
        <v>2</v>
      </c>
      <c r="AF593" t="n">
        <v>10</v>
      </c>
      <c r="AG593" t="n">
        <v>10</v>
      </c>
      <c r="AH593" t="n">
        <v>5</v>
      </c>
      <c r="AI593" t="n">
        <v>5</v>
      </c>
      <c r="AJ593" t="n">
        <v>2</v>
      </c>
      <c r="AK593" t="n">
        <v>2</v>
      </c>
      <c r="AL593" t="n">
        <v>5</v>
      </c>
      <c r="AM593" t="n">
        <v>5</v>
      </c>
      <c r="AN593" t="n">
        <v>1</v>
      </c>
      <c r="AO593" t="n">
        <v>1</v>
      </c>
      <c r="AP593" t="n">
        <v>0</v>
      </c>
      <c r="AQ593" t="n">
        <v>0</v>
      </c>
      <c r="AR593" t="inlineStr">
        <is>
          <t>No</t>
        </is>
      </c>
      <c r="AS593" t="inlineStr">
        <is>
          <t>No</t>
        </is>
      </c>
      <c r="AU593">
        <f>HYPERLINK("https://creighton-primo.hosted.exlibrisgroup.com/primo-explore/search?tab=default_tab&amp;search_scope=EVERYTHING&amp;vid=01CRU&amp;lang=en_US&amp;offset=0&amp;query=any,contains,991001315429702656","Catalog Record")</f>
        <v/>
      </c>
      <c r="AV593">
        <f>HYPERLINK("http://www.worldcat.org/oclc/19590884","WorldCat Record")</f>
        <v/>
      </c>
      <c r="AW593" t="inlineStr">
        <is>
          <t>21815799:eng</t>
        </is>
      </c>
      <c r="AX593" t="inlineStr">
        <is>
          <t>19590884</t>
        </is>
      </c>
      <c r="AY593" t="inlineStr">
        <is>
          <t>991001315429702656</t>
        </is>
      </c>
      <c r="AZ593" t="inlineStr">
        <is>
          <t>991001315429702656</t>
        </is>
      </c>
      <c r="BA593" t="inlineStr">
        <is>
          <t>2267255290002656</t>
        </is>
      </c>
      <c r="BB593" t="inlineStr">
        <is>
          <t>BOOK</t>
        </is>
      </c>
      <c r="BD593" t="inlineStr">
        <is>
          <t>9780834200692</t>
        </is>
      </c>
      <c r="BE593" t="inlineStr">
        <is>
          <t>30001001752643</t>
        </is>
      </c>
      <c r="BF593" t="inlineStr">
        <is>
          <t>893377201</t>
        </is>
      </c>
    </row>
    <row r="594">
      <c r="A594" t="inlineStr">
        <is>
          <t>No</t>
        </is>
      </c>
      <c r="B594" t="inlineStr">
        <is>
          <t>CUHSL</t>
        </is>
      </c>
      <c r="C594" t="inlineStr">
        <is>
          <t>SHELVES</t>
        </is>
      </c>
      <c r="D594" t="inlineStr">
        <is>
          <t>W61 M483 1999</t>
        </is>
      </c>
      <c r="E594" t="inlineStr">
        <is>
          <t>0                      W  0061000M  483         1999</t>
        </is>
      </c>
      <c r="F594" t="inlineStr">
        <is>
          <t>Meaning and medicine : a reader in the philosophy of health care / edited by James Lindemann Nelson and Hilde Lindemann Nelson.</t>
        </is>
      </c>
      <c r="H594" t="inlineStr">
        <is>
          <t>No</t>
        </is>
      </c>
      <c r="I594" t="inlineStr">
        <is>
          <t>1</t>
        </is>
      </c>
      <c r="J594" t="inlineStr">
        <is>
          <t>No</t>
        </is>
      </c>
      <c r="K594" t="inlineStr">
        <is>
          <t>No</t>
        </is>
      </c>
      <c r="L594" t="inlineStr">
        <is>
          <t>0</t>
        </is>
      </c>
      <c r="N594" t="inlineStr">
        <is>
          <t>New York : Routledge, 1999.</t>
        </is>
      </c>
      <c r="O594" t="inlineStr">
        <is>
          <t>1999</t>
        </is>
      </c>
      <c r="Q594" t="inlineStr">
        <is>
          <t>eng</t>
        </is>
      </c>
      <c r="R594" t="inlineStr">
        <is>
          <t>nyu</t>
        </is>
      </c>
      <c r="S594" t="inlineStr">
        <is>
          <t>Reflective bioethics</t>
        </is>
      </c>
      <c r="T594" t="inlineStr">
        <is>
          <t xml:space="preserve">W  </t>
        </is>
      </c>
      <c r="U594" t="n">
        <v>8</v>
      </c>
      <c r="V594" t="n">
        <v>8</v>
      </c>
      <c r="W594" t="inlineStr">
        <is>
          <t>2006-09-23</t>
        </is>
      </c>
      <c r="X594" t="inlineStr">
        <is>
          <t>2006-09-23</t>
        </is>
      </c>
      <c r="Y594" t="inlineStr">
        <is>
          <t>2005-08-17</t>
        </is>
      </c>
      <c r="Z594" t="inlineStr">
        <is>
          <t>2005-08-17</t>
        </is>
      </c>
      <c r="AA594" t="n">
        <v>218</v>
      </c>
      <c r="AB594" t="n">
        <v>131</v>
      </c>
      <c r="AC594" t="n">
        <v>160</v>
      </c>
      <c r="AD594" t="n">
        <v>1</v>
      </c>
      <c r="AE594" t="n">
        <v>1</v>
      </c>
      <c r="AF594" t="n">
        <v>10</v>
      </c>
      <c r="AG594" t="n">
        <v>10</v>
      </c>
      <c r="AH594" t="n">
        <v>4</v>
      </c>
      <c r="AI594" t="n">
        <v>4</v>
      </c>
      <c r="AJ594" t="n">
        <v>3</v>
      </c>
      <c r="AK594" t="n">
        <v>3</v>
      </c>
      <c r="AL594" t="n">
        <v>7</v>
      </c>
      <c r="AM594" t="n">
        <v>7</v>
      </c>
      <c r="AN594" t="n">
        <v>0</v>
      </c>
      <c r="AO594" t="n">
        <v>0</v>
      </c>
      <c r="AP594" t="n">
        <v>0</v>
      </c>
      <c r="AQ594" t="n">
        <v>0</v>
      </c>
      <c r="AR594" t="inlineStr">
        <is>
          <t>No</t>
        </is>
      </c>
      <c r="AS594" t="inlineStr">
        <is>
          <t>No</t>
        </is>
      </c>
      <c r="AU594">
        <f>HYPERLINK("https://creighton-primo.hosted.exlibrisgroup.com/primo-explore/search?tab=default_tab&amp;search_scope=EVERYTHING&amp;vid=01CRU&amp;lang=en_US&amp;offset=0&amp;query=any,contains,991001734799702656","Catalog Record")</f>
        <v/>
      </c>
      <c r="AV594">
        <f>HYPERLINK("http://www.worldcat.org/oclc/39671593","WorldCat Record")</f>
        <v/>
      </c>
      <c r="AW594" t="inlineStr">
        <is>
          <t>836980064:eng</t>
        </is>
      </c>
      <c r="AX594" t="inlineStr">
        <is>
          <t>39671593</t>
        </is>
      </c>
      <c r="AY594" t="inlineStr">
        <is>
          <t>991001734799702656</t>
        </is>
      </c>
      <c r="AZ594" t="inlineStr">
        <is>
          <t>991001734799702656</t>
        </is>
      </c>
      <c r="BA594" t="inlineStr">
        <is>
          <t>2265165380002656</t>
        </is>
      </c>
      <c r="BB594" t="inlineStr">
        <is>
          <t>BOOK</t>
        </is>
      </c>
      <c r="BD594" t="inlineStr">
        <is>
          <t>9780415919159</t>
        </is>
      </c>
      <c r="BE594" t="inlineStr">
        <is>
          <t>30001005320744</t>
        </is>
      </c>
      <c r="BF594" t="inlineStr">
        <is>
          <t>893834790</t>
        </is>
      </c>
    </row>
    <row r="595">
      <c r="A595" t="inlineStr">
        <is>
          <t>No</t>
        </is>
      </c>
      <c r="B595" t="inlineStr">
        <is>
          <t>CUHSL</t>
        </is>
      </c>
      <c r="C595" t="inlineStr">
        <is>
          <t>SHELVES</t>
        </is>
      </c>
      <c r="D595" t="inlineStr">
        <is>
          <t>W 61 M489 1981</t>
        </is>
      </c>
      <c r="E595" t="inlineStr">
        <is>
          <t>0                      W  0061000M  489         1981</t>
        </is>
      </c>
      <c r="F595" t="inlineStr">
        <is>
          <t>Medical choices, medical chances : how patients, families, and physicians can cope with uncertainty / Harold Bursztajn ... [et al.].</t>
        </is>
      </c>
      <c r="H595" t="inlineStr">
        <is>
          <t>No</t>
        </is>
      </c>
      <c r="I595" t="inlineStr">
        <is>
          <t>1</t>
        </is>
      </c>
      <c r="J595" t="inlineStr">
        <is>
          <t>No</t>
        </is>
      </c>
      <c r="K595" t="inlineStr">
        <is>
          <t>Yes</t>
        </is>
      </c>
      <c r="L595" t="inlineStr">
        <is>
          <t>0</t>
        </is>
      </c>
      <c r="N595" t="inlineStr">
        <is>
          <t>New York : Delacorte Press/Seymour Lawrence, c1981.</t>
        </is>
      </c>
      <c r="O595" t="inlineStr">
        <is>
          <t>1981</t>
        </is>
      </c>
      <c r="Q595" t="inlineStr">
        <is>
          <t>eng</t>
        </is>
      </c>
      <c r="R595" t="inlineStr">
        <is>
          <t>nyu</t>
        </is>
      </c>
      <c r="T595" t="inlineStr">
        <is>
          <t xml:space="preserve">W  </t>
        </is>
      </c>
      <c r="U595" t="n">
        <v>4</v>
      </c>
      <c r="V595" t="n">
        <v>4</v>
      </c>
      <c r="W595" t="inlineStr">
        <is>
          <t>1990-10-05</t>
        </is>
      </c>
      <c r="X595" t="inlineStr">
        <is>
          <t>1990-10-05</t>
        </is>
      </c>
      <c r="Y595" t="inlineStr">
        <is>
          <t>1987-12-18</t>
        </is>
      </c>
      <c r="Z595" t="inlineStr">
        <is>
          <t>1987-12-18</t>
        </is>
      </c>
      <c r="AA595" t="n">
        <v>360</v>
      </c>
      <c r="AB595" t="n">
        <v>341</v>
      </c>
      <c r="AC595" t="n">
        <v>481</v>
      </c>
      <c r="AD595" t="n">
        <v>3</v>
      </c>
      <c r="AE595" t="n">
        <v>4</v>
      </c>
      <c r="AF595" t="n">
        <v>10</v>
      </c>
      <c r="AG595" t="n">
        <v>15</v>
      </c>
      <c r="AH595" t="n">
        <v>3</v>
      </c>
      <c r="AI595" t="n">
        <v>5</v>
      </c>
      <c r="AJ595" t="n">
        <v>1</v>
      </c>
      <c r="AK595" t="n">
        <v>1</v>
      </c>
      <c r="AL595" t="n">
        <v>7</v>
      </c>
      <c r="AM595" t="n">
        <v>11</v>
      </c>
      <c r="AN595" t="n">
        <v>1</v>
      </c>
      <c r="AO595" t="n">
        <v>1</v>
      </c>
      <c r="AP595" t="n">
        <v>1</v>
      </c>
      <c r="AQ595" t="n">
        <v>1</v>
      </c>
      <c r="AR595" t="inlineStr">
        <is>
          <t>No</t>
        </is>
      </c>
      <c r="AS595" t="inlineStr">
        <is>
          <t>No</t>
        </is>
      </c>
      <c r="AU595">
        <f>HYPERLINK("https://creighton-primo.hosted.exlibrisgroup.com/primo-explore/search?tab=default_tab&amp;search_scope=EVERYTHING&amp;vid=01CRU&amp;lang=en_US&amp;offset=0&amp;query=any,contains,991001541879702656","Catalog Record")</f>
        <v/>
      </c>
      <c r="AV595">
        <f>HYPERLINK("http://www.worldcat.org/oclc/6788819","WorldCat Record")</f>
        <v/>
      </c>
      <c r="AW595" t="inlineStr">
        <is>
          <t>906512758:eng</t>
        </is>
      </c>
      <c r="AX595" t="inlineStr">
        <is>
          <t>6788819</t>
        </is>
      </c>
      <c r="AY595" t="inlineStr">
        <is>
          <t>991001541879702656</t>
        </is>
      </c>
      <c r="AZ595" t="inlineStr">
        <is>
          <t>991001541879702656</t>
        </is>
      </c>
      <c r="BA595" t="inlineStr">
        <is>
          <t>2263513570002656</t>
        </is>
      </c>
      <c r="BB595" t="inlineStr">
        <is>
          <t>BOOK</t>
        </is>
      </c>
      <c r="BD595" t="inlineStr">
        <is>
          <t>9780440057505</t>
        </is>
      </c>
      <c r="BE595" t="inlineStr">
        <is>
          <t>30001000635682</t>
        </is>
      </c>
      <c r="BF595" t="inlineStr">
        <is>
          <t>893552619</t>
        </is>
      </c>
    </row>
    <row r="596">
      <c r="A596" t="inlineStr">
        <is>
          <t>No</t>
        </is>
      </c>
      <c r="B596" t="inlineStr">
        <is>
          <t>CUHSL</t>
        </is>
      </c>
      <c r="C596" t="inlineStr">
        <is>
          <t>SHELVES</t>
        </is>
      </c>
      <c r="D596" t="inlineStr">
        <is>
          <t>W 61 N934 2007</t>
        </is>
      </c>
      <c r="E596" t="inlineStr">
        <is>
          <t>0                      W  0061000N  934         2007</t>
        </is>
      </c>
      <c r="F596" t="inlineStr">
        <is>
          <t>The sanctity of human life / David Novak.</t>
        </is>
      </c>
      <c r="H596" t="inlineStr">
        <is>
          <t>No</t>
        </is>
      </c>
      <c r="I596" t="inlineStr">
        <is>
          <t>1</t>
        </is>
      </c>
      <c r="J596" t="inlineStr">
        <is>
          <t>No</t>
        </is>
      </c>
      <c r="K596" t="inlineStr">
        <is>
          <t>No</t>
        </is>
      </c>
      <c r="L596" t="inlineStr">
        <is>
          <t>1</t>
        </is>
      </c>
      <c r="M596" t="inlineStr">
        <is>
          <t>Novak, David, 1941-</t>
        </is>
      </c>
      <c r="N596" t="inlineStr">
        <is>
          <t>Washington, D.C. : Georgetown University Press, c2007.</t>
        </is>
      </c>
      <c r="O596" t="inlineStr">
        <is>
          <t>2007</t>
        </is>
      </c>
      <c r="Q596" t="inlineStr">
        <is>
          <t>eng</t>
        </is>
      </c>
      <c r="R596" t="inlineStr">
        <is>
          <t>dcu</t>
        </is>
      </c>
      <c r="T596" t="inlineStr">
        <is>
          <t xml:space="preserve">W  </t>
        </is>
      </c>
      <c r="U596" t="n">
        <v>3</v>
      </c>
      <c r="V596" t="n">
        <v>3</v>
      </c>
      <c r="W596" t="inlineStr">
        <is>
          <t>2010-02-27</t>
        </is>
      </c>
      <c r="X596" t="inlineStr">
        <is>
          <t>2010-02-27</t>
        </is>
      </c>
      <c r="Y596" t="inlineStr">
        <is>
          <t>2009-05-29</t>
        </is>
      </c>
      <c r="Z596" t="inlineStr">
        <is>
          <t>2009-05-29</t>
        </is>
      </c>
      <c r="AA596" t="n">
        <v>420</v>
      </c>
      <c r="AB596" t="n">
        <v>360</v>
      </c>
      <c r="AC596" t="n">
        <v>1288</v>
      </c>
      <c r="AD596" t="n">
        <v>2</v>
      </c>
      <c r="AE596" t="n">
        <v>14</v>
      </c>
      <c r="AF596" t="n">
        <v>28</v>
      </c>
      <c r="AG596" t="n">
        <v>55</v>
      </c>
      <c r="AH596" t="n">
        <v>11</v>
      </c>
      <c r="AI596" t="n">
        <v>21</v>
      </c>
      <c r="AJ596" t="n">
        <v>8</v>
      </c>
      <c r="AK596" t="n">
        <v>10</v>
      </c>
      <c r="AL596" t="n">
        <v>14</v>
      </c>
      <c r="AM596" t="n">
        <v>22</v>
      </c>
      <c r="AN596" t="n">
        <v>1</v>
      </c>
      <c r="AO596" t="n">
        <v>12</v>
      </c>
      <c r="AP596" t="n">
        <v>2</v>
      </c>
      <c r="AQ596" t="n">
        <v>3</v>
      </c>
      <c r="AR596" t="inlineStr">
        <is>
          <t>No</t>
        </is>
      </c>
      <c r="AS596" t="inlineStr">
        <is>
          <t>No</t>
        </is>
      </c>
      <c r="AU596">
        <f>HYPERLINK("https://creighton-primo.hosted.exlibrisgroup.com/primo-explore/search?tab=default_tab&amp;search_scope=EVERYTHING&amp;vid=01CRU&amp;lang=en_US&amp;offset=0&amp;query=any,contains,991001466349702656","Catalog Record")</f>
        <v/>
      </c>
      <c r="AV596">
        <f>HYPERLINK("http://www.worldcat.org/oclc/84900487","WorldCat Record")</f>
        <v/>
      </c>
      <c r="AW596" t="inlineStr">
        <is>
          <t>140747644:eng</t>
        </is>
      </c>
      <c r="AX596" t="inlineStr">
        <is>
          <t>84900487</t>
        </is>
      </c>
      <c r="AY596" t="inlineStr">
        <is>
          <t>991001466349702656</t>
        </is>
      </c>
      <c r="AZ596" t="inlineStr">
        <is>
          <t>991001466349702656</t>
        </is>
      </c>
      <c r="BA596" t="inlineStr">
        <is>
          <t>2259664670002656</t>
        </is>
      </c>
      <c r="BB596" t="inlineStr">
        <is>
          <t>BOOK</t>
        </is>
      </c>
      <c r="BD596" t="inlineStr">
        <is>
          <t>9781589011762</t>
        </is>
      </c>
      <c r="BE596" t="inlineStr">
        <is>
          <t>30001004917060</t>
        </is>
      </c>
      <c r="BF596" t="inlineStr">
        <is>
          <t>893134599</t>
        </is>
      </c>
    </row>
    <row r="597">
      <c r="A597" t="inlineStr">
        <is>
          <t>No</t>
        </is>
      </c>
      <c r="B597" t="inlineStr">
        <is>
          <t>CUHSL</t>
        </is>
      </c>
      <c r="C597" t="inlineStr">
        <is>
          <t>SHELVES</t>
        </is>
      </c>
      <c r="D597" t="inlineStr">
        <is>
          <t>W61 N994m 2004</t>
        </is>
      </c>
      <c r="E597" t="inlineStr">
        <is>
          <t>0                      W  0061000N  994m        2004</t>
        </is>
      </c>
      <c r="F597" t="inlineStr">
        <is>
          <t>Medicine &amp; compassion : a Tibetan Lama's guidance for caregivers / Chokyi Nyima Rinpoche ; with David R. Shlim ; translated by Erik Pema Kunsang ; foreword by Harvey Fineberg and Donald Fineberg.</t>
        </is>
      </c>
      <c r="H597" t="inlineStr">
        <is>
          <t>No</t>
        </is>
      </c>
      <c r="I597" t="inlineStr">
        <is>
          <t>1</t>
        </is>
      </c>
      <c r="J597" t="inlineStr">
        <is>
          <t>No</t>
        </is>
      </c>
      <c r="K597" t="inlineStr">
        <is>
          <t>No</t>
        </is>
      </c>
      <c r="L597" t="inlineStr">
        <is>
          <t>0</t>
        </is>
      </c>
      <c r="M597" t="inlineStr">
        <is>
          <t>Chökyi Nyima, Rinpoche, 1951-</t>
        </is>
      </c>
      <c r="N597" t="inlineStr">
        <is>
          <t>Boston : Wisdom Publications, c2004.</t>
        </is>
      </c>
      <c r="O597" t="inlineStr">
        <is>
          <t>2004</t>
        </is>
      </c>
      <c r="P597" t="inlineStr">
        <is>
          <t>1st ed.</t>
        </is>
      </c>
      <c r="Q597" t="inlineStr">
        <is>
          <t>eng</t>
        </is>
      </c>
      <c r="R597" t="inlineStr">
        <is>
          <t>mau</t>
        </is>
      </c>
      <c r="T597" t="inlineStr">
        <is>
          <t xml:space="preserve">W  </t>
        </is>
      </c>
      <c r="U597" t="n">
        <v>1</v>
      </c>
      <c r="V597" t="n">
        <v>1</v>
      </c>
      <c r="W597" t="inlineStr">
        <is>
          <t>2007-04-23</t>
        </is>
      </c>
      <c r="X597" t="inlineStr">
        <is>
          <t>2007-04-23</t>
        </is>
      </c>
      <c r="Y597" t="inlineStr">
        <is>
          <t>2007-02-19</t>
        </is>
      </c>
      <c r="Z597" t="inlineStr">
        <is>
          <t>2007-02-19</t>
        </is>
      </c>
      <c r="AA597" t="n">
        <v>102</v>
      </c>
      <c r="AB597" t="n">
        <v>90</v>
      </c>
      <c r="AC597" t="n">
        <v>370</v>
      </c>
      <c r="AD597" t="n">
        <v>1</v>
      </c>
      <c r="AE597" t="n">
        <v>3</v>
      </c>
      <c r="AF597" t="n">
        <v>2</v>
      </c>
      <c r="AG597" t="n">
        <v>6</v>
      </c>
      <c r="AH597" t="n">
        <v>0</v>
      </c>
      <c r="AI597" t="n">
        <v>2</v>
      </c>
      <c r="AJ597" t="n">
        <v>2</v>
      </c>
      <c r="AK597" t="n">
        <v>3</v>
      </c>
      <c r="AL597" t="n">
        <v>1</v>
      </c>
      <c r="AM597" t="n">
        <v>2</v>
      </c>
      <c r="AN597" t="n">
        <v>0</v>
      </c>
      <c r="AO597" t="n">
        <v>2</v>
      </c>
      <c r="AP597" t="n">
        <v>0</v>
      </c>
      <c r="AQ597" t="n">
        <v>0</v>
      </c>
      <c r="AR597" t="inlineStr">
        <is>
          <t>No</t>
        </is>
      </c>
      <c r="AS597" t="inlineStr">
        <is>
          <t>No</t>
        </is>
      </c>
      <c r="AU597">
        <f>HYPERLINK("https://creighton-primo.hosted.exlibrisgroup.com/primo-explore/search?tab=default_tab&amp;search_scope=EVERYTHING&amp;vid=01CRU&amp;lang=en_US&amp;offset=0&amp;query=any,contains,991000596139702656","Catalog Record")</f>
        <v/>
      </c>
      <c r="AV597">
        <f>HYPERLINK("http://www.worldcat.org/oclc/55644927","WorldCat Record")</f>
        <v/>
      </c>
      <c r="AW597" t="inlineStr">
        <is>
          <t>891232300:eng</t>
        </is>
      </c>
      <c r="AX597" t="inlineStr">
        <is>
          <t>55644927</t>
        </is>
      </c>
      <c r="AY597" t="inlineStr">
        <is>
          <t>991000596139702656</t>
        </is>
      </c>
      <c r="AZ597" t="inlineStr">
        <is>
          <t>991000596139702656</t>
        </is>
      </c>
      <c r="BA597" t="inlineStr">
        <is>
          <t>2259086480002656</t>
        </is>
      </c>
      <c r="BB597" t="inlineStr">
        <is>
          <t>BOOK</t>
        </is>
      </c>
      <c r="BD597" t="inlineStr">
        <is>
          <t>9780861714780</t>
        </is>
      </c>
      <c r="BE597" t="inlineStr">
        <is>
          <t>30001005212610</t>
        </is>
      </c>
      <c r="BF597" t="inlineStr">
        <is>
          <t>893641852</t>
        </is>
      </c>
    </row>
    <row r="598">
      <c r="A598" t="inlineStr">
        <is>
          <t>No</t>
        </is>
      </c>
      <c r="B598" t="inlineStr">
        <is>
          <t>CUHSL</t>
        </is>
      </c>
      <c r="C598" t="inlineStr">
        <is>
          <t>SHELVES</t>
        </is>
      </c>
      <c r="D598" t="inlineStr">
        <is>
          <t>W 61 PH609 1976 v.5</t>
        </is>
      </c>
      <c r="E598" t="inlineStr">
        <is>
          <t>0                      W  0061000PH 609         1976                                        v.5</t>
        </is>
      </c>
      <c r="F598" t="inlineStr">
        <is>
          <t>Mental illness : law and public policy / edited by Baruch A. Brody and H. Tristram Engelhardt, Jr.</t>
        </is>
      </c>
      <c r="G598" t="inlineStr">
        <is>
          <t>V.5</t>
        </is>
      </c>
      <c r="H598" t="inlineStr">
        <is>
          <t>No</t>
        </is>
      </c>
      <c r="I598" t="inlineStr">
        <is>
          <t>1</t>
        </is>
      </c>
      <c r="J598" t="inlineStr">
        <is>
          <t>No</t>
        </is>
      </c>
      <c r="K598" t="inlineStr">
        <is>
          <t>No</t>
        </is>
      </c>
      <c r="L598" t="inlineStr">
        <is>
          <t>0</t>
        </is>
      </c>
      <c r="N598" t="inlineStr">
        <is>
          <t>Dordrecht ; Boston : Reidel; Hingham, Mass. : sold and distributed by Kluwer Boston, c1980.</t>
        </is>
      </c>
      <c r="O598" t="inlineStr">
        <is>
          <t>1980</t>
        </is>
      </c>
      <c r="Q598" t="inlineStr">
        <is>
          <t>eng</t>
        </is>
      </c>
      <c r="R598" t="inlineStr">
        <is>
          <t xml:space="preserve">ne </t>
        </is>
      </c>
      <c r="S598" t="inlineStr">
        <is>
          <t>Philosophy and medicine ; v. 5</t>
        </is>
      </c>
      <c r="T598" t="inlineStr">
        <is>
          <t xml:space="preserve">W  </t>
        </is>
      </c>
      <c r="U598" t="n">
        <v>2</v>
      </c>
      <c r="V598" t="n">
        <v>2</v>
      </c>
      <c r="W598" t="inlineStr">
        <is>
          <t>1993-09-01</t>
        </is>
      </c>
      <c r="X598" t="inlineStr">
        <is>
          <t>1993-09-01</t>
        </is>
      </c>
      <c r="Y598" t="inlineStr">
        <is>
          <t>1987-12-18</t>
        </is>
      </c>
      <c r="Z598" t="inlineStr">
        <is>
          <t>1987-12-18</t>
        </is>
      </c>
      <c r="AA598" t="n">
        <v>515</v>
      </c>
      <c r="AB598" t="n">
        <v>386</v>
      </c>
      <c r="AC598" t="n">
        <v>402</v>
      </c>
      <c r="AD598" t="n">
        <v>3</v>
      </c>
      <c r="AE598" t="n">
        <v>3</v>
      </c>
      <c r="AF598" t="n">
        <v>31</v>
      </c>
      <c r="AG598" t="n">
        <v>32</v>
      </c>
      <c r="AH598" t="n">
        <v>4</v>
      </c>
      <c r="AI598" t="n">
        <v>5</v>
      </c>
      <c r="AJ598" t="n">
        <v>5</v>
      </c>
      <c r="AK598" t="n">
        <v>5</v>
      </c>
      <c r="AL598" t="n">
        <v>11</v>
      </c>
      <c r="AM598" t="n">
        <v>12</v>
      </c>
      <c r="AN598" t="n">
        <v>1</v>
      </c>
      <c r="AO598" t="n">
        <v>1</v>
      </c>
      <c r="AP598" t="n">
        <v>16</v>
      </c>
      <c r="AQ598" t="n">
        <v>16</v>
      </c>
      <c r="AR598" t="inlineStr">
        <is>
          <t>No</t>
        </is>
      </c>
      <c r="AS598" t="inlineStr">
        <is>
          <t>Yes</t>
        </is>
      </c>
      <c r="AT598">
        <f>HYPERLINK("http://catalog.hathitrust.org/Record/000085616","HathiTrust Record")</f>
        <v/>
      </c>
      <c r="AU598">
        <f>HYPERLINK("https://creighton-primo.hosted.exlibrisgroup.com/primo-explore/search?tab=default_tab&amp;search_scope=EVERYTHING&amp;vid=01CRU&amp;lang=en_US&amp;offset=0&amp;query=any,contains,991001541919702656","Catalog Record")</f>
        <v/>
      </c>
      <c r="AV598">
        <f>HYPERLINK("http://www.worldcat.org/oclc/6085871","WorldCat Record")</f>
        <v/>
      </c>
      <c r="AW598" t="inlineStr">
        <is>
          <t>891638610:eng</t>
        </is>
      </c>
      <c r="AX598" t="inlineStr">
        <is>
          <t>6085871</t>
        </is>
      </c>
      <c r="AY598" t="inlineStr">
        <is>
          <t>991001541919702656</t>
        </is>
      </c>
      <c r="AZ598" t="inlineStr">
        <is>
          <t>991001541919702656</t>
        </is>
      </c>
      <c r="BA598" t="inlineStr">
        <is>
          <t>2259343870002656</t>
        </is>
      </c>
      <c r="BB598" t="inlineStr">
        <is>
          <t>BOOK</t>
        </is>
      </c>
      <c r="BD598" t="inlineStr">
        <is>
          <t>9789027710574</t>
        </is>
      </c>
      <c r="BE598" t="inlineStr">
        <is>
          <t>30001000635724</t>
        </is>
      </c>
      <c r="BF598" t="inlineStr">
        <is>
          <t>893558079</t>
        </is>
      </c>
    </row>
    <row r="599">
      <c r="A599" t="inlineStr">
        <is>
          <t>No</t>
        </is>
      </c>
      <c r="B599" t="inlineStr">
        <is>
          <t>CUHSL</t>
        </is>
      </c>
      <c r="C599" t="inlineStr">
        <is>
          <t>SHELVES</t>
        </is>
      </c>
      <c r="D599" t="inlineStr">
        <is>
          <t>W 61 PH609 1981 v.15</t>
        </is>
      </c>
      <c r="E599" t="inlineStr">
        <is>
          <t>0                      W  0061000PH 609         1981                                        v.15</t>
        </is>
      </c>
      <c r="F599" t="inlineStr">
        <is>
          <t>Ethics and mental retardation / edited by Loretta Kopelman and John C. Moskop.</t>
        </is>
      </c>
      <c r="G599" t="inlineStr">
        <is>
          <t>V.15</t>
        </is>
      </c>
      <c r="H599" t="inlineStr">
        <is>
          <t>No</t>
        </is>
      </c>
      <c r="I599" t="inlineStr">
        <is>
          <t>1</t>
        </is>
      </c>
      <c r="J599" t="inlineStr">
        <is>
          <t>No</t>
        </is>
      </c>
      <c r="K599" t="inlineStr">
        <is>
          <t>No</t>
        </is>
      </c>
      <c r="L599" t="inlineStr">
        <is>
          <t>0</t>
        </is>
      </c>
      <c r="N599" t="inlineStr">
        <is>
          <t>Dordrecht ; Boston : D. Reidel Pub. Co. ; Hingham, MA, U.S.A. : Sold and distributed in the U.S.A. and Canada by Kluwer Academic Publishers, c1984.</t>
        </is>
      </c>
      <c r="O599" t="inlineStr">
        <is>
          <t>1984</t>
        </is>
      </c>
      <c r="Q599" t="inlineStr">
        <is>
          <t>eng</t>
        </is>
      </c>
      <c r="R599" t="inlineStr">
        <is>
          <t xml:space="preserve">ne </t>
        </is>
      </c>
      <c r="S599" t="inlineStr">
        <is>
          <t>Philosophy and medicine ; v. 15</t>
        </is>
      </c>
      <c r="T599" t="inlineStr">
        <is>
          <t xml:space="preserve">W  </t>
        </is>
      </c>
      <c r="U599" t="n">
        <v>10</v>
      </c>
      <c r="V599" t="n">
        <v>10</v>
      </c>
      <c r="W599" t="inlineStr">
        <is>
          <t>2001-01-03</t>
        </is>
      </c>
      <c r="X599" t="inlineStr">
        <is>
          <t>2001-01-03</t>
        </is>
      </c>
      <c r="Y599" t="inlineStr">
        <is>
          <t>1988-01-20</t>
        </is>
      </c>
      <c r="Z599" t="inlineStr">
        <is>
          <t>1988-01-20</t>
        </is>
      </c>
      <c r="AA599" t="n">
        <v>427</v>
      </c>
      <c r="AB599" t="n">
        <v>324</v>
      </c>
      <c r="AC599" t="n">
        <v>341</v>
      </c>
      <c r="AD599" t="n">
        <v>3</v>
      </c>
      <c r="AE599" t="n">
        <v>3</v>
      </c>
      <c r="AF599" t="n">
        <v>26</v>
      </c>
      <c r="AG599" t="n">
        <v>28</v>
      </c>
      <c r="AH599" t="n">
        <v>7</v>
      </c>
      <c r="AI599" t="n">
        <v>9</v>
      </c>
      <c r="AJ599" t="n">
        <v>7</v>
      </c>
      <c r="AK599" t="n">
        <v>8</v>
      </c>
      <c r="AL599" t="n">
        <v>16</v>
      </c>
      <c r="AM599" t="n">
        <v>17</v>
      </c>
      <c r="AN599" t="n">
        <v>1</v>
      </c>
      <c r="AO599" t="n">
        <v>1</v>
      </c>
      <c r="AP599" t="n">
        <v>4</v>
      </c>
      <c r="AQ599" t="n">
        <v>4</v>
      </c>
      <c r="AR599" t="inlineStr">
        <is>
          <t>No</t>
        </is>
      </c>
      <c r="AS599" t="inlineStr">
        <is>
          <t>No</t>
        </is>
      </c>
      <c r="AU599">
        <f>HYPERLINK("https://creighton-primo.hosted.exlibrisgroup.com/primo-explore/search?tab=default_tab&amp;search_scope=EVERYTHING&amp;vid=01CRU&amp;lang=en_US&amp;offset=0&amp;query=any,contains,991001542079702656","Catalog Record")</f>
        <v/>
      </c>
      <c r="AV599">
        <f>HYPERLINK("http://www.worldcat.org/oclc/10185543","WorldCat Record")</f>
        <v/>
      </c>
      <c r="AW599" t="inlineStr">
        <is>
          <t>353275747:eng</t>
        </is>
      </c>
      <c r="AX599" t="inlineStr">
        <is>
          <t>10185543</t>
        </is>
      </c>
      <c r="AY599" t="inlineStr">
        <is>
          <t>991001542079702656</t>
        </is>
      </c>
      <c r="AZ599" t="inlineStr">
        <is>
          <t>991001542079702656</t>
        </is>
      </c>
      <c r="BA599" t="inlineStr">
        <is>
          <t>2263254900002656</t>
        </is>
      </c>
      <c r="BB599" t="inlineStr">
        <is>
          <t>BOOK</t>
        </is>
      </c>
      <c r="BD599" t="inlineStr">
        <is>
          <t>9789027716309</t>
        </is>
      </c>
      <c r="BE599" t="inlineStr">
        <is>
          <t>30001000635765</t>
        </is>
      </c>
      <c r="BF599" t="inlineStr">
        <is>
          <t>893279200</t>
        </is>
      </c>
    </row>
    <row r="600">
      <c r="A600" t="inlineStr">
        <is>
          <t>No</t>
        </is>
      </c>
      <c r="B600" t="inlineStr">
        <is>
          <t>CUHSL</t>
        </is>
      </c>
      <c r="C600" t="inlineStr">
        <is>
          <t>SHELVES</t>
        </is>
      </c>
      <c r="D600" t="inlineStr">
        <is>
          <t>W 61 PH609 1984 v.31</t>
        </is>
      </c>
      <c r="E600" t="inlineStr">
        <is>
          <t>0                      W  0061000PH 609         1984                                        v.31</t>
        </is>
      </c>
      <c r="F600" t="inlineStr">
        <is>
          <t>Death : beyond whole-brain criteria / edited by Richard M. Zaner.</t>
        </is>
      </c>
      <c r="G600" t="inlineStr">
        <is>
          <t>V.31</t>
        </is>
      </c>
      <c r="H600" t="inlineStr">
        <is>
          <t>No</t>
        </is>
      </c>
      <c r="I600" t="inlineStr">
        <is>
          <t>1</t>
        </is>
      </c>
      <c r="J600" t="inlineStr">
        <is>
          <t>No</t>
        </is>
      </c>
      <c r="K600" t="inlineStr">
        <is>
          <t>No</t>
        </is>
      </c>
      <c r="L600" t="inlineStr">
        <is>
          <t>0</t>
        </is>
      </c>
      <c r="N600" t="inlineStr">
        <is>
          <t>Dordrecht ; Boston : D. Reider Pub. Co. ; Norwell, MA, U.S.A. : Sold and distributed in the U.S.A. and Canada by Kluwer Academic Publishers, c1988.</t>
        </is>
      </c>
      <c r="O600" t="inlineStr">
        <is>
          <t>1988</t>
        </is>
      </c>
      <c r="Q600" t="inlineStr">
        <is>
          <t>eng</t>
        </is>
      </c>
      <c r="R600" t="inlineStr">
        <is>
          <t xml:space="preserve">ne </t>
        </is>
      </c>
      <c r="S600" t="inlineStr">
        <is>
          <t>Philosophy and medicine ; v. 31</t>
        </is>
      </c>
      <c r="T600" t="inlineStr">
        <is>
          <t xml:space="preserve">W  </t>
        </is>
      </c>
      <c r="U600" t="n">
        <v>6</v>
      </c>
      <c r="V600" t="n">
        <v>6</v>
      </c>
      <c r="W600" t="inlineStr">
        <is>
          <t>2008-02-12</t>
        </is>
      </c>
      <c r="X600" t="inlineStr">
        <is>
          <t>2008-02-12</t>
        </is>
      </c>
      <c r="Y600" t="inlineStr">
        <is>
          <t>1988-05-12</t>
        </is>
      </c>
      <c r="Z600" t="inlineStr">
        <is>
          <t>1988-05-12</t>
        </is>
      </c>
      <c r="AA600" t="n">
        <v>319</v>
      </c>
      <c r="AB600" t="n">
        <v>237</v>
      </c>
      <c r="AC600" t="n">
        <v>250</v>
      </c>
      <c r="AD600" t="n">
        <v>1</v>
      </c>
      <c r="AE600" t="n">
        <v>1</v>
      </c>
      <c r="AF600" t="n">
        <v>15</v>
      </c>
      <c r="AG600" t="n">
        <v>16</v>
      </c>
      <c r="AH600" t="n">
        <v>2</v>
      </c>
      <c r="AI600" t="n">
        <v>3</v>
      </c>
      <c r="AJ600" t="n">
        <v>5</v>
      </c>
      <c r="AK600" t="n">
        <v>5</v>
      </c>
      <c r="AL600" t="n">
        <v>12</v>
      </c>
      <c r="AM600" t="n">
        <v>13</v>
      </c>
      <c r="AN600" t="n">
        <v>0</v>
      </c>
      <c r="AO600" t="n">
        <v>0</v>
      </c>
      <c r="AP600" t="n">
        <v>1</v>
      </c>
      <c r="AQ600" t="n">
        <v>1</v>
      </c>
      <c r="AR600" t="inlineStr">
        <is>
          <t>No</t>
        </is>
      </c>
      <c r="AS600" t="inlineStr">
        <is>
          <t>No</t>
        </is>
      </c>
      <c r="AU600">
        <f>HYPERLINK("https://creighton-primo.hosted.exlibrisgroup.com/primo-explore/search?tab=default_tab&amp;search_scope=EVERYTHING&amp;vid=01CRU&amp;lang=en_US&amp;offset=0&amp;query=any,contains,991001191209702656","Catalog Record")</f>
        <v/>
      </c>
      <c r="AV600">
        <f>HYPERLINK("http://www.worldcat.org/oclc/16869617","WorldCat Record")</f>
        <v/>
      </c>
      <c r="AW600" t="inlineStr">
        <is>
          <t>890126720:eng</t>
        </is>
      </c>
      <c r="AX600" t="inlineStr">
        <is>
          <t>16869617</t>
        </is>
      </c>
      <c r="AY600" t="inlineStr">
        <is>
          <t>991001191209702656</t>
        </is>
      </c>
      <c r="AZ600" t="inlineStr">
        <is>
          <t>991001191209702656</t>
        </is>
      </c>
      <c r="BA600" t="inlineStr">
        <is>
          <t>22101747250002656</t>
        </is>
      </c>
      <c r="BB600" t="inlineStr">
        <is>
          <t>BOOK</t>
        </is>
      </c>
      <c r="BD600" t="inlineStr">
        <is>
          <t>9781556080531</t>
        </is>
      </c>
      <c r="BE600" t="inlineStr">
        <is>
          <t>30001000979387</t>
        </is>
      </c>
      <c r="BF600" t="inlineStr">
        <is>
          <t>893831988</t>
        </is>
      </c>
    </row>
    <row r="601">
      <c r="A601" t="inlineStr">
        <is>
          <t>No</t>
        </is>
      </c>
      <c r="B601" t="inlineStr">
        <is>
          <t>CUHSL</t>
        </is>
      </c>
      <c r="C601" t="inlineStr">
        <is>
          <t>SHELVES</t>
        </is>
      </c>
      <c r="D601" t="inlineStr">
        <is>
          <t>W 61 PH609 1985 v.20</t>
        </is>
      </c>
      <c r="E601" t="inlineStr">
        <is>
          <t>0                      W  0061000PH 609         1985                                        v.20</t>
        </is>
      </c>
      <c r="F601" t="inlineStr">
        <is>
          <t>Theology and bioethics : exploring the foundations and frontiers / edited by Earl E. Shelp.</t>
        </is>
      </c>
      <c r="G601" t="inlineStr">
        <is>
          <t>V.20</t>
        </is>
      </c>
      <c r="H601" t="inlineStr">
        <is>
          <t>No</t>
        </is>
      </c>
      <c r="I601" t="inlineStr">
        <is>
          <t>1</t>
        </is>
      </c>
      <c r="J601" t="inlineStr">
        <is>
          <t>No</t>
        </is>
      </c>
      <c r="K601" t="inlineStr">
        <is>
          <t>No</t>
        </is>
      </c>
      <c r="L601" t="inlineStr">
        <is>
          <t>0</t>
        </is>
      </c>
      <c r="N601" t="inlineStr">
        <is>
          <t>Dordrecht ; Boston : D. Reidel ; Hingham, MA, U.S.A. : Sold and distributed in the U.S.A. and Canada by Kluwer Academic, c1985.</t>
        </is>
      </c>
      <c r="O601" t="inlineStr">
        <is>
          <t>1985</t>
        </is>
      </c>
      <c r="Q601" t="inlineStr">
        <is>
          <t>eng</t>
        </is>
      </c>
      <c r="R601" t="inlineStr">
        <is>
          <t xml:space="preserve">ne </t>
        </is>
      </c>
      <c r="S601" t="inlineStr">
        <is>
          <t>Philosophy and medicine ; v. 20</t>
        </is>
      </c>
      <c r="T601" t="inlineStr">
        <is>
          <t xml:space="preserve">W  </t>
        </is>
      </c>
      <c r="U601" t="n">
        <v>5</v>
      </c>
      <c r="V601" t="n">
        <v>5</v>
      </c>
      <c r="W601" t="inlineStr">
        <is>
          <t>2001-12-05</t>
        </is>
      </c>
      <c r="X601" t="inlineStr">
        <is>
          <t>2001-12-05</t>
        </is>
      </c>
      <c r="Y601" t="inlineStr">
        <is>
          <t>1987-12-23</t>
        </is>
      </c>
      <c r="Z601" t="inlineStr">
        <is>
          <t>1987-12-23</t>
        </is>
      </c>
      <c r="AA601" t="n">
        <v>470</v>
      </c>
      <c r="AB601" t="n">
        <v>357</v>
      </c>
      <c r="AC601" t="n">
        <v>362</v>
      </c>
      <c r="AD601" t="n">
        <v>2</v>
      </c>
      <c r="AE601" t="n">
        <v>2</v>
      </c>
      <c r="AF601" t="n">
        <v>23</v>
      </c>
      <c r="AG601" t="n">
        <v>23</v>
      </c>
      <c r="AH601" t="n">
        <v>8</v>
      </c>
      <c r="AI601" t="n">
        <v>8</v>
      </c>
      <c r="AJ601" t="n">
        <v>6</v>
      </c>
      <c r="AK601" t="n">
        <v>6</v>
      </c>
      <c r="AL601" t="n">
        <v>18</v>
      </c>
      <c r="AM601" t="n">
        <v>18</v>
      </c>
      <c r="AN601" t="n">
        <v>0</v>
      </c>
      <c r="AO601" t="n">
        <v>0</v>
      </c>
      <c r="AP601" t="n">
        <v>1</v>
      </c>
      <c r="AQ601" t="n">
        <v>1</v>
      </c>
      <c r="AR601" t="inlineStr">
        <is>
          <t>No</t>
        </is>
      </c>
      <c r="AS601" t="inlineStr">
        <is>
          <t>No</t>
        </is>
      </c>
      <c r="AU601">
        <f>HYPERLINK("https://creighton-primo.hosted.exlibrisgroup.com/primo-explore/search?tab=default_tab&amp;search_scope=EVERYTHING&amp;vid=01CRU&amp;lang=en_US&amp;offset=0&amp;query=any,contains,991001542169702656","Catalog Record")</f>
        <v/>
      </c>
      <c r="AV601">
        <f>HYPERLINK("http://www.worldcat.org/oclc/12107447","WorldCat Record")</f>
        <v/>
      </c>
      <c r="AW601" t="inlineStr">
        <is>
          <t>836715383:eng</t>
        </is>
      </c>
      <c r="AX601" t="inlineStr">
        <is>
          <t>12107447</t>
        </is>
      </c>
      <c r="AY601" t="inlineStr">
        <is>
          <t>991001542169702656</t>
        </is>
      </c>
      <c r="AZ601" t="inlineStr">
        <is>
          <t>991001542169702656</t>
        </is>
      </c>
      <c r="BA601" t="inlineStr">
        <is>
          <t>2265089300002656</t>
        </is>
      </c>
      <c r="BB601" t="inlineStr">
        <is>
          <t>BOOK</t>
        </is>
      </c>
      <c r="BD601" t="inlineStr">
        <is>
          <t>9789027718570</t>
        </is>
      </c>
      <c r="BE601" t="inlineStr">
        <is>
          <t>30001000635773</t>
        </is>
      </c>
      <c r="BF601" t="inlineStr">
        <is>
          <t>893162140</t>
        </is>
      </c>
    </row>
    <row r="602">
      <c r="A602" t="inlineStr">
        <is>
          <t>No</t>
        </is>
      </c>
      <c r="B602" t="inlineStr">
        <is>
          <t>CUHSL</t>
        </is>
      </c>
      <c r="C602" t="inlineStr">
        <is>
          <t>SHELVES</t>
        </is>
      </c>
      <c r="D602" t="inlineStr">
        <is>
          <t>W 61 PH609 1985 v.30</t>
        </is>
      </c>
      <c r="E602" t="inlineStr">
        <is>
          <t>0                      W  0061000PH 609         1985                                        v.30</t>
        </is>
      </c>
      <c r="F602" t="inlineStr">
        <is>
          <t>Health care systems : moral conflicts in European and American public policy / edited by Hans-Martin Sass and Robert U. Massey.</t>
        </is>
      </c>
      <c r="G602" t="inlineStr">
        <is>
          <t>V.30</t>
        </is>
      </c>
      <c r="H602" t="inlineStr">
        <is>
          <t>No</t>
        </is>
      </c>
      <c r="I602" t="inlineStr">
        <is>
          <t>1</t>
        </is>
      </c>
      <c r="J602" t="inlineStr">
        <is>
          <t>No</t>
        </is>
      </c>
      <c r="K602" t="inlineStr">
        <is>
          <t>No</t>
        </is>
      </c>
      <c r="L602" t="inlineStr">
        <is>
          <t>0</t>
        </is>
      </c>
      <c r="N602" t="inlineStr">
        <is>
          <t>Dordrecht ; Boston : D. Reidel Pub. Co. ; Norwell, MA, U.S.A. : Sold and distributed in the U.S.A. and Canada by Kluwer Academic Publishers, c1987.</t>
        </is>
      </c>
      <c r="O602" t="inlineStr">
        <is>
          <t>1987</t>
        </is>
      </c>
      <c r="Q602" t="inlineStr">
        <is>
          <t>eng</t>
        </is>
      </c>
      <c r="R602" t="inlineStr">
        <is>
          <t xml:space="preserve">ne </t>
        </is>
      </c>
      <c r="S602" t="inlineStr">
        <is>
          <t>Philosophy and medicine ; v. 30</t>
        </is>
      </c>
      <c r="T602" t="inlineStr">
        <is>
          <t xml:space="preserve">W  </t>
        </is>
      </c>
      <c r="U602" t="n">
        <v>4</v>
      </c>
      <c r="V602" t="n">
        <v>4</v>
      </c>
      <c r="W602" t="inlineStr">
        <is>
          <t>1989-02-07</t>
        </is>
      </c>
      <c r="X602" t="inlineStr">
        <is>
          <t>1989-02-07</t>
        </is>
      </c>
      <c r="Y602" t="inlineStr">
        <is>
          <t>1989-01-10</t>
        </is>
      </c>
      <c r="Z602" t="inlineStr">
        <is>
          <t>1989-01-10</t>
        </is>
      </c>
      <c r="AA602" t="n">
        <v>275</v>
      </c>
      <c r="AB602" t="n">
        <v>219</v>
      </c>
      <c r="AC602" t="n">
        <v>235</v>
      </c>
      <c r="AD602" t="n">
        <v>1</v>
      </c>
      <c r="AE602" t="n">
        <v>1</v>
      </c>
      <c r="AF602" t="n">
        <v>16</v>
      </c>
      <c r="AG602" t="n">
        <v>18</v>
      </c>
      <c r="AH602" t="n">
        <v>5</v>
      </c>
      <c r="AI602" t="n">
        <v>7</v>
      </c>
      <c r="AJ602" t="n">
        <v>6</v>
      </c>
      <c r="AK602" t="n">
        <v>6</v>
      </c>
      <c r="AL602" t="n">
        <v>10</v>
      </c>
      <c r="AM602" t="n">
        <v>12</v>
      </c>
      <c r="AN602" t="n">
        <v>0</v>
      </c>
      <c r="AO602" t="n">
        <v>0</v>
      </c>
      <c r="AP602" t="n">
        <v>1</v>
      </c>
      <c r="AQ602" t="n">
        <v>1</v>
      </c>
      <c r="AR602" t="inlineStr">
        <is>
          <t>No</t>
        </is>
      </c>
      <c r="AS602" t="inlineStr">
        <is>
          <t>No</t>
        </is>
      </c>
      <c r="AU602">
        <f>HYPERLINK("https://creighton-primo.hosted.exlibrisgroup.com/primo-explore/search?tab=default_tab&amp;search_scope=EVERYTHING&amp;vid=01CRU&amp;lang=en_US&amp;offset=0&amp;query=any,contains,991001109689702656","Catalog Record")</f>
        <v/>
      </c>
      <c r="AV602">
        <f>HYPERLINK("http://www.worldcat.org/oclc/17354636","WorldCat Record")</f>
        <v/>
      </c>
      <c r="AW602" t="inlineStr">
        <is>
          <t>890352563:eng</t>
        </is>
      </c>
      <c r="AX602" t="inlineStr">
        <is>
          <t>17354636</t>
        </is>
      </c>
      <c r="AY602" t="inlineStr">
        <is>
          <t>991001109689702656</t>
        </is>
      </c>
      <c r="AZ602" t="inlineStr">
        <is>
          <t>991001109689702656</t>
        </is>
      </c>
      <c r="BA602" t="inlineStr">
        <is>
          <t>2258429650002656</t>
        </is>
      </c>
      <c r="BB602" t="inlineStr">
        <is>
          <t>BOOK</t>
        </is>
      </c>
      <c r="BD602" t="inlineStr">
        <is>
          <t>9781556080456</t>
        </is>
      </c>
      <c r="BE602" t="inlineStr">
        <is>
          <t>30001001611799</t>
        </is>
      </c>
      <c r="BF602" t="inlineStr">
        <is>
          <t>893632727</t>
        </is>
      </c>
    </row>
    <row r="603">
      <c r="A603" t="inlineStr">
        <is>
          <t>No</t>
        </is>
      </c>
      <c r="B603" t="inlineStr">
        <is>
          <t>CUHSL</t>
        </is>
      </c>
      <c r="C603" t="inlineStr">
        <is>
          <t>SHELVES</t>
        </is>
      </c>
      <c r="D603" t="inlineStr">
        <is>
          <t>W 61 PH609 1986 v.21</t>
        </is>
      </c>
      <c r="E603" t="inlineStr">
        <is>
          <t>0                      W  0061000PH 609         1986                                        v.21</t>
        </is>
      </c>
      <c r="F603" t="inlineStr">
        <is>
          <t>The Price of health / edited by George J. Agich and Charles E. Begley.</t>
        </is>
      </c>
      <c r="G603" t="inlineStr">
        <is>
          <t>V.21</t>
        </is>
      </c>
      <c r="H603" t="inlineStr">
        <is>
          <t>No</t>
        </is>
      </c>
      <c r="I603" t="inlineStr">
        <is>
          <t>1</t>
        </is>
      </c>
      <c r="J603" t="inlineStr">
        <is>
          <t>No</t>
        </is>
      </c>
      <c r="K603" t="inlineStr">
        <is>
          <t>No</t>
        </is>
      </c>
      <c r="L603" t="inlineStr">
        <is>
          <t>0</t>
        </is>
      </c>
      <c r="N603" t="inlineStr">
        <is>
          <t>Dordrecht ; Boston : D. Reidel Pub. Co. ; Norwell, MA. : Sold and distributed in the U.S.A. and Canada by Kluwer Academic Publishers, c1986.</t>
        </is>
      </c>
      <c r="O603" t="inlineStr">
        <is>
          <t>1986</t>
        </is>
      </c>
      <c r="Q603" t="inlineStr">
        <is>
          <t>eng</t>
        </is>
      </c>
      <c r="R603" t="inlineStr">
        <is>
          <t xml:space="preserve">ne </t>
        </is>
      </c>
      <c r="S603" t="inlineStr">
        <is>
          <t>Philosophy and medicine ; v. 21</t>
        </is>
      </c>
      <c r="T603" t="inlineStr">
        <is>
          <t xml:space="preserve">W  </t>
        </is>
      </c>
      <c r="U603" t="n">
        <v>3</v>
      </c>
      <c r="V603" t="n">
        <v>3</v>
      </c>
      <c r="W603" t="inlineStr">
        <is>
          <t>1998-12-11</t>
        </is>
      </c>
      <c r="X603" t="inlineStr">
        <is>
          <t>1998-12-11</t>
        </is>
      </c>
      <c r="Y603" t="inlineStr">
        <is>
          <t>1989-01-10</t>
        </is>
      </c>
      <c r="Z603" t="inlineStr">
        <is>
          <t>1989-01-10</t>
        </is>
      </c>
      <c r="AA603" t="n">
        <v>295</v>
      </c>
      <c r="AB603" t="n">
        <v>225</v>
      </c>
      <c r="AC603" t="n">
        <v>236</v>
      </c>
      <c r="AD603" t="n">
        <v>1</v>
      </c>
      <c r="AE603" t="n">
        <v>1</v>
      </c>
      <c r="AF603" t="n">
        <v>18</v>
      </c>
      <c r="AG603" t="n">
        <v>18</v>
      </c>
      <c r="AH603" t="n">
        <v>3</v>
      </c>
      <c r="AI603" t="n">
        <v>3</v>
      </c>
      <c r="AJ603" t="n">
        <v>5</v>
      </c>
      <c r="AK603" t="n">
        <v>5</v>
      </c>
      <c r="AL603" t="n">
        <v>14</v>
      </c>
      <c r="AM603" t="n">
        <v>14</v>
      </c>
      <c r="AN603" t="n">
        <v>0</v>
      </c>
      <c r="AO603" t="n">
        <v>0</v>
      </c>
      <c r="AP603" t="n">
        <v>3</v>
      </c>
      <c r="AQ603" t="n">
        <v>3</v>
      </c>
      <c r="AR603" t="inlineStr">
        <is>
          <t>No</t>
        </is>
      </c>
      <c r="AS603" t="inlineStr">
        <is>
          <t>Yes</t>
        </is>
      </c>
      <c r="AT603">
        <f>HYPERLINK("http://catalog.hathitrust.org/Record/000816115","HathiTrust Record")</f>
        <v/>
      </c>
      <c r="AU603">
        <f>HYPERLINK("https://creighton-primo.hosted.exlibrisgroup.com/primo-explore/search?tab=default_tab&amp;search_scope=EVERYTHING&amp;vid=01CRU&amp;lang=en_US&amp;offset=0&amp;query=any,contains,991001109369702656","Catalog Record")</f>
        <v/>
      </c>
      <c r="AV603">
        <f>HYPERLINK("http://www.worldcat.org/oclc/14214322","WorldCat Record")</f>
        <v/>
      </c>
      <c r="AW603" t="inlineStr">
        <is>
          <t>351499007:eng</t>
        </is>
      </c>
      <c r="AX603" t="inlineStr">
        <is>
          <t>14214322</t>
        </is>
      </c>
      <c r="AY603" t="inlineStr">
        <is>
          <t>991001109369702656</t>
        </is>
      </c>
      <c r="AZ603" t="inlineStr">
        <is>
          <t>991001109369702656</t>
        </is>
      </c>
      <c r="BA603" t="inlineStr">
        <is>
          <t>2267105930002656</t>
        </is>
      </c>
      <c r="BB603" t="inlineStr">
        <is>
          <t>BOOK</t>
        </is>
      </c>
      <c r="BD603" t="inlineStr">
        <is>
          <t>9789027722850</t>
        </is>
      </c>
      <c r="BE603" t="inlineStr">
        <is>
          <t>30001001611757</t>
        </is>
      </c>
      <c r="BF603" t="inlineStr">
        <is>
          <t>893541028</t>
        </is>
      </c>
    </row>
    <row r="604">
      <c r="A604" t="inlineStr">
        <is>
          <t>No</t>
        </is>
      </c>
      <c r="B604" t="inlineStr">
        <is>
          <t>CUHSL</t>
        </is>
      </c>
      <c r="C604" t="inlineStr">
        <is>
          <t>SHELVES</t>
        </is>
      </c>
      <c r="D604" t="inlineStr">
        <is>
          <t>W 61 PH609 1986 v.29</t>
        </is>
      </c>
      <c r="E604" t="inlineStr">
        <is>
          <t>0                      W  0061000PH 609         1986                                        v.29</t>
        </is>
      </c>
      <c r="F604" t="inlineStr">
        <is>
          <t>The Physician as captain of the ship : a critical reappraisal / edited by Nancy M.P. King, Larry R. Churchill, and Alan W. Cross.</t>
        </is>
      </c>
      <c r="G604" t="inlineStr">
        <is>
          <t>V.29</t>
        </is>
      </c>
      <c r="H604" t="inlineStr">
        <is>
          <t>No</t>
        </is>
      </c>
      <c r="I604" t="inlineStr">
        <is>
          <t>1</t>
        </is>
      </c>
      <c r="J604" t="inlineStr">
        <is>
          <t>No</t>
        </is>
      </c>
      <c r="K604" t="inlineStr">
        <is>
          <t>No</t>
        </is>
      </c>
      <c r="L604" t="inlineStr">
        <is>
          <t>0</t>
        </is>
      </c>
      <c r="N604" t="inlineStr">
        <is>
          <t>Dordrecht ; Boston : D. Reidel ; Norwell, MA : Sold and distributed in the U.S.A. and Canada by Kluwer Academic Publishers, c1988.</t>
        </is>
      </c>
      <c r="O604" t="inlineStr">
        <is>
          <t>1988</t>
        </is>
      </c>
      <c r="Q604" t="inlineStr">
        <is>
          <t>eng</t>
        </is>
      </c>
      <c r="R604" t="inlineStr">
        <is>
          <t xml:space="preserve">ne </t>
        </is>
      </c>
      <c r="S604" t="inlineStr">
        <is>
          <t>Philosophy and medicine ; v. 29</t>
        </is>
      </c>
      <c r="T604" t="inlineStr">
        <is>
          <t xml:space="preserve">W  </t>
        </is>
      </c>
      <c r="U604" t="n">
        <v>3</v>
      </c>
      <c r="V604" t="n">
        <v>3</v>
      </c>
      <c r="W604" t="inlineStr">
        <is>
          <t>1989-06-28</t>
        </is>
      </c>
      <c r="X604" t="inlineStr">
        <is>
          <t>1989-06-28</t>
        </is>
      </c>
      <c r="Y604" t="inlineStr">
        <is>
          <t>1989-06-05</t>
        </is>
      </c>
      <c r="Z604" t="inlineStr">
        <is>
          <t>1989-06-05</t>
        </is>
      </c>
      <c r="AA604" t="n">
        <v>212</v>
      </c>
      <c r="AB604" t="n">
        <v>172</v>
      </c>
      <c r="AC604" t="n">
        <v>274</v>
      </c>
      <c r="AD604" t="n">
        <v>1</v>
      </c>
      <c r="AE604" t="n">
        <v>1</v>
      </c>
      <c r="AF604" t="n">
        <v>13</v>
      </c>
      <c r="AG604" t="n">
        <v>16</v>
      </c>
      <c r="AH604" t="n">
        <v>2</v>
      </c>
      <c r="AI604" t="n">
        <v>5</v>
      </c>
      <c r="AJ604" t="n">
        <v>5</v>
      </c>
      <c r="AK604" t="n">
        <v>5</v>
      </c>
      <c r="AL604" t="n">
        <v>10</v>
      </c>
      <c r="AM604" t="n">
        <v>12</v>
      </c>
      <c r="AN604" t="n">
        <v>0</v>
      </c>
      <c r="AO604" t="n">
        <v>0</v>
      </c>
      <c r="AP604" t="n">
        <v>1</v>
      </c>
      <c r="AQ604" t="n">
        <v>1</v>
      </c>
      <c r="AR604" t="inlineStr">
        <is>
          <t>No</t>
        </is>
      </c>
      <c r="AS604" t="inlineStr">
        <is>
          <t>Yes</t>
        </is>
      </c>
      <c r="AT604">
        <f>HYPERLINK("http://catalog.hathitrust.org/Record/000917681","HathiTrust Record")</f>
        <v/>
      </c>
      <c r="AU604">
        <f>HYPERLINK("https://creighton-primo.hosted.exlibrisgroup.com/primo-explore/search?tab=default_tab&amp;search_scope=EVERYTHING&amp;vid=01CRU&amp;lang=en_US&amp;offset=0&amp;query=any,contains,991001249929702656","Catalog Record")</f>
        <v/>
      </c>
      <c r="AV604">
        <f>HYPERLINK("http://www.worldcat.org/oclc/17209989","WorldCat Record")</f>
        <v/>
      </c>
      <c r="AW604" t="inlineStr">
        <is>
          <t>793371822:eng</t>
        </is>
      </c>
      <c r="AX604" t="inlineStr">
        <is>
          <t>17209989</t>
        </is>
      </c>
      <c r="AY604" t="inlineStr">
        <is>
          <t>991001249929702656</t>
        </is>
      </c>
      <c r="AZ604" t="inlineStr">
        <is>
          <t>991001249929702656</t>
        </is>
      </c>
      <c r="BA604" t="inlineStr">
        <is>
          <t>2260010130002656</t>
        </is>
      </c>
      <c r="BB604" t="inlineStr">
        <is>
          <t>BOOK</t>
        </is>
      </c>
      <c r="BD604" t="inlineStr">
        <is>
          <t>9781556080449</t>
        </is>
      </c>
      <c r="BE604" t="inlineStr">
        <is>
          <t>30001001678657</t>
        </is>
      </c>
      <c r="BF604" t="inlineStr">
        <is>
          <t>893541159</t>
        </is>
      </c>
    </row>
    <row r="605">
      <c r="A605" t="inlineStr">
        <is>
          <t>No</t>
        </is>
      </c>
      <c r="B605" t="inlineStr">
        <is>
          <t>CUHSL</t>
        </is>
      </c>
      <c r="C605" t="inlineStr">
        <is>
          <t>SHELVES</t>
        </is>
      </c>
      <c r="D605" t="inlineStr">
        <is>
          <t>W 61 PH609 1988 v.32</t>
        </is>
      </c>
      <c r="E605" t="inlineStr">
        <is>
          <t>0                      W  0061000PH 609         1988                                        v.32</t>
        </is>
      </c>
      <c r="F605" t="inlineStr">
        <is>
          <t>Moral theory and moral judgments in medical ethics / edited by Baruch A. Brody.</t>
        </is>
      </c>
      <c r="G605" t="inlineStr">
        <is>
          <t>V.32</t>
        </is>
      </c>
      <c r="H605" t="inlineStr">
        <is>
          <t>No</t>
        </is>
      </c>
      <c r="I605" t="inlineStr">
        <is>
          <t>1</t>
        </is>
      </c>
      <c r="J605" t="inlineStr">
        <is>
          <t>No</t>
        </is>
      </c>
      <c r="K605" t="inlineStr">
        <is>
          <t>No</t>
        </is>
      </c>
      <c r="L605" t="inlineStr">
        <is>
          <t>0</t>
        </is>
      </c>
      <c r="N605" t="inlineStr">
        <is>
          <t>Dordrecht ; Boston : Kluwer Academic, c1988.</t>
        </is>
      </c>
      <c r="O605" t="inlineStr">
        <is>
          <t>1988</t>
        </is>
      </c>
      <c r="Q605" t="inlineStr">
        <is>
          <t>eng</t>
        </is>
      </c>
      <c r="R605" t="inlineStr">
        <is>
          <t xml:space="preserve">ne </t>
        </is>
      </c>
      <c r="S605" t="inlineStr">
        <is>
          <t>Philosophy and medicine ; v. 32</t>
        </is>
      </c>
      <c r="T605" t="inlineStr">
        <is>
          <t xml:space="preserve">W  </t>
        </is>
      </c>
      <c r="U605" t="n">
        <v>2</v>
      </c>
      <c r="V605" t="n">
        <v>2</v>
      </c>
      <c r="W605" t="inlineStr">
        <is>
          <t>1993-04-15</t>
        </is>
      </c>
      <c r="X605" t="inlineStr">
        <is>
          <t>1993-04-15</t>
        </is>
      </c>
      <c r="Y605" t="inlineStr">
        <is>
          <t>1989-07-07</t>
        </is>
      </c>
      <c r="Z605" t="inlineStr">
        <is>
          <t>1989-07-07</t>
        </is>
      </c>
      <c r="AA605" t="n">
        <v>299</v>
      </c>
      <c r="AB605" t="n">
        <v>224</v>
      </c>
      <c r="AC605" t="n">
        <v>243</v>
      </c>
      <c r="AD605" t="n">
        <v>1</v>
      </c>
      <c r="AE605" t="n">
        <v>1</v>
      </c>
      <c r="AF605" t="n">
        <v>18</v>
      </c>
      <c r="AG605" t="n">
        <v>20</v>
      </c>
      <c r="AH605" t="n">
        <v>4</v>
      </c>
      <c r="AI605" t="n">
        <v>5</v>
      </c>
      <c r="AJ605" t="n">
        <v>4</v>
      </c>
      <c r="AK605" t="n">
        <v>5</v>
      </c>
      <c r="AL605" t="n">
        <v>14</v>
      </c>
      <c r="AM605" t="n">
        <v>16</v>
      </c>
      <c r="AN605" t="n">
        <v>0</v>
      </c>
      <c r="AO605" t="n">
        <v>0</v>
      </c>
      <c r="AP605" t="n">
        <v>2</v>
      </c>
      <c r="AQ605" t="n">
        <v>2</v>
      </c>
      <c r="AR605" t="inlineStr">
        <is>
          <t>No</t>
        </is>
      </c>
      <c r="AS605" t="inlineStr">
        <is>
          <t>Yes</t>
        </is>
      </c>
      <c r="AT605">
        <f>HYPERLINK("http://catalog.hathitrust.org/Record/010089526","HathiTrust Record")</f>
        <v/>
      </c>
      <c r="AU605">
        <f>HYPERLINK("https://creighton-primo.hosted.exlibrisgroup.com/primo-explore/search?tab=default_tab&amp;search_scope=EVERYTHING&amp;vid=01CRU&amp;lang=en_US&amp;offset=0&amp;query=any,contains,991001311019702656","Catalog Record")</f>
        <v/>
      </c>
      <c r="AV605">
        <f>HYPERLINK("http://www.worldcat.org/oclc/17676564","WorldCat Record")</f>
        <v/>
      </c>
      <c r="AW605" t="inlineStr">
        <is>
          <t>15817589:eng</t>
        </is>
      </c>
      <c r="AX605" t="inlineStr">
        <is>
          <t>17676564</t>
        </is>
      </c>
      <c r="AY605" t="inlineStr">
        <is>
          <t>991001311019702656</t>
        </is>
      </c>
      <c r="AZ605" t="inlineStr">
        <is>
          <t>991001311019702656</t>
        </is>
      </c>
      <c r="BA605" t="inlineStr">
        <is>
          <t>2259333740002656</t>
        </is>
      </c>
      <c r="BB605" t="inlineStr">
        <is>
          <t>BOOK</t>
        </is>
      </c>
      <c r="BD605" t="inlineStr">
        <is>
          <t>9781556080609</t>
        </is>
      </c>
      <c r="BE605" t="inlineStr">
        <is>
          <t>30001001750860</t>
        </is>
      </c>
      <c r="BF605" t="inlineStr">
        <is>
          <t>893278986</t>
        </is>
      </c>
    </row>
    <row r="606">
      <c r="A606" t="inlineStr">
        <is>
          <t>No</t>
        </is>
      </c>
      <c r="B606" t="inlineStr">
        <is>
          <t>CUHSL</t>
        </is>
      </c>
      <c r="C606" t="inlineStr">
        <is>
          <t>SHELVES</t>
        </is>
      </c>
      <c r="D606" t="inlineStr">
        <is>
          <t>W 61 S559g 1995</t>
        </is>
      </c>
      <c r="E606" t="inlineStr">
        <is>
          <t>0                      W  0061000S  559g        1995</t>
        </is>
      </c>
      <c r="F606" t="inlineStr">
        <is>
          <t>Government and health services : government's role in the development of U.S. health services, 1930-1980 / by William Shonick.</t>
        </is>
      </c>
      <c r="H606" t="inlineStr">
        <is>
          <t>No</t>
        </is>
      </c>
      <c r="I606" t="inlineStr">
        <is>
          <t>1</t>
        </is>
      </c>
      <c r="J606" t="inlineStr">
        <is>
          <t>No</t>
        </is>
      </c>
      <c r="K606" t="inlineStr">
        <is>
          <t>No</t>
        </is>
      </c>
      <c r="L606" t="inlineStr">
        <is>
          <t>0</t>
        </is>
      </c>
      <c r="M606" t="inlineStr">
        <is>
          <t>Shonick, William.</t>
        </is>
      </c>
      <c r="N606" t="inlineStr">
        <is>
          <t>New York : Oxford University Press, c1995.</t>
        </is>
      </c>
      <c r="O606" t="inlineStr">
        <is>
          <t>1995</t>
        </is>
      </c>
      <c r="Q606" t="inlineStr">
        <is>
          <t>eng</t>
        </is>
      </c>
      <c r="R606" t="inlineStr">
        <is>
          <t>nyu</t>
        </is>
      </c>
      <c r="T606" t="inlineStr">
        <is>
          <t xml:space="preserve">W  </t>
        </is>
      </c>
      <c r="U606" t="n">
        <v>3</v>
      </c>
      <c r="V606" t="n">
        <v>3</v>
      </c>
      <c r="W606" t="inlineStr">
        <is>
          <t>1995-05-08</t>
        </is>
      </c>
      <c r="X606" t="inlineStr">
        <is>
          <t>1995-05-08</t>
        </is>
      </c>
      <c r="Y606" t="inlineStr">
        <is>
          <t>1995-01-27</t>
        </is>
      </c>
      <c r="Z606" t="inlineStr">
        <is>
          <t>1995-01-27</t>
        </is>
      </c>
      <c r="AA606" t="n">
        <v>281</v>
      </c>
      <c r="AB606" t="n">
        <v>244</v>
      </c>
      <c r="AC606" t="n">
        <v>246</v>
      </c>
      <c r="AD606" t="n">
        <v>2</v>
      </c>
      <c r="AE606" t="n">
        <v>2</v>
      </c>
      <c r="AF606" t="n">
        <v>13</v>
      </c>
      <c r="AG606" t="n">
        <v>13</v>
      </c>
      <c r="AH606" t="n">
        <v>5</v>
      </c>
      <c r="AI606" t="n">
        <v>5</v>
      </c>
      <c r="AJ606" t="n">
        <v>2</v>
      </c>
      <c r="AK606" t="n">
        <v>2</v>
      </c>
      <c r="AL606" t="n">
        <v>5</v>
      </c>
      <c r="AM606" t="n">
        <v>5</v>
      </c>
      <c r="AN606" t="n">
        <v>1</v>
      </c>
      <c r="AO606" t="n">
        <v>1</v>
      </c>
      <c r="AP606" t="n">
        <v>2</v>
      </c>
      <c r="AQ606" t="n">
        <v>2</v>
      </c>
      <c r="AR606" t="inlineStr">
        <is>
          <t>No</t>
        </is>
      </c>
      <c r="AS606" t="inlineStr">
        <is>
          <t>Yes</t>
        </is>
      </c>
      <c r="AT606">
        <f>HYPERLINK("http://catalog.hathitrust.org/Record/002958056","HathiTrust Record")</f>
        <v/>
      </c>
      <c r="AU606">
        <f>HYPERLINK("https://creighton-primo.hosted.exlibrisgroup.com/primo-explore/search?tab=default_tab&amp;search_scope=EVERYTHING&amp;vid=01CRU&amp;lang=en_US&amp;offset=0&amp;query=any,contains,991000685989702656","Catalog Record")</f>
        <v/>
      </c>
      <c r="AV606">
        <f>HYPERLINK("http://www.worldcat.org/oclc/30354153","WorldCat Record")</f>
        <v/>
      </c>
      <c r="AW606" t="inlineStr">
        <is>
          <t>836867278:eng</t>
        </is>
      </c>
      <c r="AX606" t="inlineStr">
        <is>
          <t>30354153</t>
        </is>
      </c>
      <c r="AY606" t="inlineStr">
        <is>
          <t>991000685989702656</t>
        </is>
      </c>
      <c r="AZ606" t="inlineStr">
        <is>
          <t>991000685989702656</t>
        </is>
      </c>
      <c r="BA606" t="inlineStr">
        <is>
          <t>2257454190002656</t>
        </is>
      </c>
      <c r="BB606" t="inlineStr">
        <is>
          <t>BOOK</t>
        </is>
      </c>
      <c r="BD606" t="inlineStr">
        <is>
          <t>9780195069686</t>
        </is>
      </c>
      <c r="BE606" t="inlineStr">
        <is>
          <t>30001002698985</t>
        </is>
      </c>
      <c r="BF606" t="inlineStr">
        <is>
          <t>893545497</t>
        </is>
      </c>
    </row>
    <row r="607">
      <c r="A607" t="inlineStr">
        <is>
          <t>No</t>
        </is>
      </c>
      <c r="B607" t="inlineStr">
        <is>
          <t>CUHSL</t>
        </is>
      </c>
      <c r="C607" t="inlineStr">
        <is>
          <t>SHELVES</t>
        </is>
      </c>
      <c r="D607" t="inlineStr">
        <is>
          <t>W 61 S814f 1988</t>
        </is>
      </c>
      <c r="E607" t="inlineStr">
        <is>
          <t>0                      W  0061000S  814f        1988</t>
        </is>
      </c>
      <c r="F607" t="inlineStr">
        <is>
          <t>Faces of medicine : a philosophical study / by Wim J. van der Steen and P.J. Thung.</t>
        </is>
      </c>
      <c r="H607" t="inlineStr">
        <is>
          <t>No</t>
        </is>
      </c>
      <c r="I607" t="inlineStr">
        <is>
          <t>1</t>
        </is>
      </c>
      <c r="J607" t="inlineStr">
        <is>
          <t>No</t>
        </is>
      </c>
      <c r="K607" t="inlineStr">
        <is>
          <t>No</t>
        </is>
      </c>
      <c r="L607" t="inlineStr">
        <is>
          <t>0</t>
        </is>
      </c>
      <c r="M607" t="inlineStr">
        <is>
          <t>Steen, Wim J. van der, 1940-</t>
        </is>
      </c>
      <c r="N607" t="inlineStr">
        <is>
          <t>Dordrecht ; Boston : Kluwer Academic Publishers, c1988.</t>
        </is>
      </c>
      <c r="O607" t="inlineStr">
        <is>
          <t>1988</t>
        </is>
      </c>
      <c r="Q607" t="inlineStr">
        <is>
          <t>eng</t>
        </is>
      </c>
      <c r="R607" t="inlineStr">
        <is>
          <t xml:space="preserve">ne </t>
        </is>
      </c>
      <c r="T607" t="inlineStr">
        <is>
          <t xml:space="preserve">W  </t>
        </is>
      </c>
      <c r="U607" t="n">
        <v>12</v>
      </c>
      <c r="V607" t="n">
        <v>12</v>
      </c>
      <c r="W607" t="inlineStr">
        <is>
          <t>1996-04-11</t>
        </is>
      </c>
      <c r="X607" t="inlineStr">
        <is>
          <t>1996-04-11</t>
        </is>
      </c>
      <c r="Y607" t="inlineStr">
        <is>
          <t>1989-01-26</t>
        </is>
      </c>
      <c r="Z607" t="inlineStr">
        <is>
          <t>1989-01-26</t>
        </is>
      </c>
      <c r="AA607" t="n">
        <v>130</v>
      </c>
      <c r="AB607" t="n">
        <v>96</v>
      </c>
      <c r="AC607" t="n">
        <v>106</v>
      </c>
      <c r="AD607" t="n">
        <v>1</v>
      </c>
      <c r="AE607" t="n">
        <v>1</v>
      </c>
      <c r="AF607" t="n">
        <v>3</v>
      </c>
      <c r="AG607" t="n">
        <v>4</v>
      </c>
      <c r="AH607" t="n">
        <v>1</v>
      </c>
      <c r="AI607" t="n">
        <v>2</v>
      </c>
      <c r="AJ607" t="n">
        <v>0</v>
      </c>
      <c r="AK607" t="n">
        <v>0</v>
      </c>
      <c r="AL607" t="n">
        <v>3</v>
      </c>
      <c r="AM607" t="n">
        <v>4</v>
      </c>
      <c r="AN607" t="n">
        <v>0</v>
      </c>
      <c r="AO607" t="n">
        <v>0</v>
      </c>
      <c r="AP607" t="n">
        <v>0</v>
      </c>
      <c r="AQ607" t="n">
        <v>0</v>
      </c>
      <c r="AR607" t="inlineStr">
        <is>
          <t>No</t>
        </is>
      </c>
      <c r="AS607" t="inlineStr">
        <is>
          <t>No</t>
        </is>
      </c>
      <c r="AU607">
        <f>HYPERLINK("https://creighton-primo.hosted.exlibrisgroup.com/primo-explore/search?tab=default_tab&amp;search_scope=EVERYTHING&amp;vid=01CRU&amp;lang=en_US&amp;offset=0&amp;query=any,contains,991001115129702656","Catalog Record")</f>
        <v/>
      </c>
      <c r="AV607">
        <f>HYPERLINK("http://www.worldcat.org/oclc/17413704","WorldCat Record")</f>
        <v/>
      </c>
      <c r="AW607" t="inlineStr">
        <is>
          <t>15619433:eng</t>
        </is>
      </c>
      <c r="AX607" t="inlineStr">
        <is>
          <t>17413704</t>
        </is>
      </c>
      <c r="AY607" t="inlineStr">
        <is>
          <t>991001115129702656</t>
        </is>
      </c>
      <c r="AZ607" t="inlineStr">
        <is>
          <t>991001115129702656</t>
        </is>
      </c>
      <c r="BA607" t="inlineStr">
        <is>
          <t>2261682030002656</t>
        </is>
      </c>
      <c r="BB607" t="inlineStr">
        <is>
          <t>BOOK</t>
        </is>
      </c>
      <c r="BD607" t="inlineStr">
        <is>
          <t>9789024736737</t>
        </is>
      </c>
      <c r="BE607" t="inlineStr">
        <is>
          <t>30001001613100</t>
        </is>
      </c>
      <c r="BF607" t="inlineStr">
        <is>
          <t>893831922</t>
        </is>
      </c>
    </row>
    <row r="608">
      <c r="A608" t="inlineStr">
        <is>
          <t>No</t>
        </is>
      </c>
      <c r="B608" t="inlineStr">
        <is>
          <t>CUHSL</t>
        </is>
      </c>
      <c r="C608" t="inlineStr">
        <is>
          <t>SHELVES</t>
        </is>
      </c>
      <c r="D608" t="inlineStr">
        <is>
          <t>W 61 S996k 2005</t>
        </is>
      </c>
      <c r="E608" t="inlineStr">
        <is>
          <t>0                      W  0061000S  996k        2005</t>
        </is>
      </c>
      <c r="F608" t="inlineStr">
        <is>
          <t>Catharsis : on the art of medicine / Andrzej Szczeklik ; translated by Antonia Lloyd-Jones ; with a foreword by Czesław Miłosz.</t>
        </is>
      </c>
      <c r="H608" t="inlineStr">
        <is>
          <t>No</t>
        </is>
      </c>
      <c r="I608" t="inlineStr">
        <is>
          <t>1</t>
        </is>
      </c>
      <c r="J608" t="inlineStr">
        <is>
          <t>No</t>
        </is>
      </c>
      <c r="K608" t="inlineStr">
        <is>
          <t>No</t>
        </is>
      </c>
      <c r="L608" t="inlineStr">
        <is>
          <t>0</t>
        </is>
      </c>
      <c r="M608" t="inlineStr">
        <is>
          <t>Szczeklik, Andrzej.</t>
        </is>
      </c>
      <c r="N608" t="inlineStr">
        <is>
          <t>Chicago : University of Chicago Press, 2005.</t>
        </is>
      </c>
      <c r="O608" t="inlineStr">
        <is>
          <t>2005</t>
        </is>
      </c>
      <c r="Q608" t="inlineStr">
        <is>
          <t>eng</t>
        </is>
      </c>
      <c r="R608" t="inlineStr">
        <is>
          <t>ilu</t>
        </is>
      </c>
      <c r="T608" t="inlineStr">
        <is>
          <t xml:space="preserve">W  </t>
        </is>
      </c>
      <c r="U608" t="n">
        <v>2</v>
      </c>
      <c r="V608" t="n">
        <v>2</v>
      </c>
      <c r="W608" t="inlineStr">
        <is>
          <t>2008-11-18</t>
        </is>
      </c>
      <c r="X608" t="inlineStr">
        <is>
          <t>2008-11-18</t>
        </is>
      </c>
      <c r="Y608" t="inlineStr">
        <is>
          <t>2008-09-26</t>
        </is>
      </c>
      <c r="Z608" t="inlineStr">
        <is>
          <t>2008-09-26</t>
        </is>
      </c>
      <c r="AA608" t="n">
        <v>545</v>
      </c>
      <c r="AB608" t="n">
        <v>484</v>
      </c>
      <c r="AC608" t="n">
        <v>494</v>
      </c>
      <c r="AD608" t="n">
        <v>3</v>
      </c>
      <c r="AE608" t="n">
        <v>3</v>
      </c>
      <c r="AF608" t="n">
        <v>19</v>
      </c>
      <c r="AG608" t="n">
        <v>19</v>
      </c>
      <c r="AH608" t="n">
        <v>9</v>
      </c>
      <c r="AI608" t="n">
        <v>9</v>
      </c>
      <c r="AJ608" t="n">
        <v>4</v>
      </c>
      <c r="AK608" t="n">
        <v>4</v>
      </c>
      <c r="AL608" t="n">
        <v>8</v>
      </c>
      <c r="AM608" t="n">
        <v>8</v>
      </c>
      <c r="AN608" t="n">
        <v>2</v>
      </c>
      <c r="AO608" t="n">
        <v>2</v>
      </c>
      <c r="AP608" t="n">
        <v>0</v>
      </c>
      <c r="AQ608" t="n">
        <v>0</v>
      </c>
      <c r="AR608" t="inlineStr">
        <is>
          <t>No</t>
        </is>
      </c>
      <c r="AS608" t="inlineStr">
        <is>
          <t>No</t>
        </is>
      </c>
      <c r="AU608">
        <f>HYPERLINK("https://creighton-primo.hosted.exlibrisgroup.com/primo-explore/search?tab=default_tab&amp;search_scope=EVERYTHING&amp;vid=01CRU&amp;lang=en_US&amp;offset=0&amp;query=any,contains,991001319269702656","Catalog Record")</f>
        <v/>
      </c>
      <c r="AV608">
        <f>HYPERLINK("http://www.worldcat.org/oclc/58604684","WorldCat Record")</f>
        <v/>
      </c>
      <c r="AW608" t="inlineStr">
        <is>
          <t>891956725:eng</t>
        </is>
      </c>
      <c r="AX608" t="inlineStr">
        <is>
          <t>58604684</t>
        </is>
      </c>
      <c r="AY608" t="inlineStr">
        <is>
          <t>991001319269702656</t>
        </is>
      </c>
      <c r="AZ608" t="inlineStr">
        <is>
          <t>991001319269702656</t>
        </is>
      </c>
      <c r="BA608" t="inlineStr">
        <is>
          <t>2259573900002656</t>
        </is>
      </c>
      <c r="BB608" t="inlineStr">
        <is>
          <t>BOOK</t>
        </is>
      </c>
      <c r="BD608" t="inlineStr">
        <is>
          <t>9780226788692</t>
        </is>
      </c>
      <c r="BE608" t="inlineStr">
        <is>
          <t>30001005371929</t>
        </is>
      </c>
      <c r="BF608" t="inlineStr">
        <is>
          <t>893541251</t>
        </is>
      </c>
    </row>
    <row r="609">
      <c r="A609" t="inlineStr">
        <is>
          <t>No</t>
        </is>
      </c>
      <c r="B609" t="inlineStr">
        <is>
          <t>CUHSL</t>
        </is>
      </c>
      <c r="C609" t="inlineStr">
        <is>
          <t>SHELVES</t>
        </is>
      </c>
      <c r="D609" t="inlineStr">
        <is>
          <t>W 61 W949m 2007</t>
        </is>
      </c>
      <c r="E609" t="inlineStr">
        <is>
          <t>0                      W  0061000W  949m        2007</t>
        </is>
      </c>
      <c r="F609" t="inlineStr">
        <is>
          <t>Means, ends and medical care / H.G. Wright.</t>
        </is>
      </c>
      <c r="H609" t="inlineStr">
        <is>
          <t>No</t>
        </is>
      </c>
      <c r="I609" t="inlineStr">
        <is>
          <t>1</t>
        </is>
      </c>
      <c r="J609" t="inlineStr">
        <is>
          <t>No</t>
        </is>
      </c>
      <c r="K609" t="inlineStr">
        <is>
          <t>No</t>
        </is>
      </c>
      <c r="L609" t="inlineStr">
        <is>
          <t>1</t>
        </is>
      </c>
      <c r="M609" t="inlineStr">
        <is>
          <t>Wright, H. G.</t>
        </is>
      </c>
      <c r="N609" t="inlineStr">
        <is>
          <t>Dordrecht : Springer, c2007.</t>
        </is>
      </c>
      <c r="O609" t="inlineStr">
        <is>
          <t>2007</t>
        </is>
      </c>
      <c r="Q609" t="inlineStr">
        <is>
          <t>eng</t>
        </is>
      </c>
      <c r="R609" t="inlineStr">
        <is>
          <t xml:space="preserve">ne </t>
        </is>
      </c>
      <c r="S609" t="inlineStr">
        <is>
          <t>Philosophy and medicine ; v. 92</t>
        </is>
      </c>
      <c r="T609" t="inlineStr">
        <is>
          <t xml:space="preserve">W  </t>
        </is>
      </c>
      <c r="U609" t="n">
        <v>1</v>
      </c>
      <c r="V609" t="n">
        <v>1</v>
      </c>
      <c r="W609" t="inlineStr">
        <is>
          <t>2008-08-26</t>
        </is>
      </c>
      <c r="X609" t="inlineStr">
        <is>
          <t>2008-08-26</t>
        </is>
      </c>
      <c r="Y609" t="inlineStr">
        <is>
          <t>2008-08-20</t>
        </is>
      </c>
      <c r="Z609" t="inlineStr">
        <is>
          <t>2008-08-20</t>
        </is>
      </c>
      <c r="AA609" t="n">
        <v>106</v>
      </c>
      <c r="AB609" t="n">
        <v>93</v>
      </c>
      <c r="AC609" t="n">
        <v>313</v>
      </c>
      <c r="AD609" t="n">
        <v>1</v>
      </c>
      <c r="AE609" t="n">
        <v>2</v>
      </c>
      <c r="AF609" t="n">
        <v>11</v>
      </c>
      <c r="AG609" t="n">
        <v>17</v>
      </c>
      <c r="AH609" t="n">
        <v>4</v>
      </c>
      <c r="AI609" t="n">
        <v>7</v>
      </c>
      <c r="AJ609" t="n">
        <v>4</v>
      </c>
      <c r="AK609" t="n">
        <v>6</v>
      </c>
      <c r="AL609" t="n">
        <v>8</v>
      </c>
      <c r="AM609" t="n">
        <v>13</v>
      </c>
      <c r="AN609" t="n">
        <v>0</v>
      </c>
      <c r="AO609" t="n">
        <v>0</v>
      </c>
      <c r="AP609" t="n">
        <v>0</v>
      </c>
      <c r="AQ609" t="n">
        <v>0</v>
      </c>
      <c r="AR609" t="inlineStr">
        <is>
          <t>No</t>
        </is>
      </c>
      <c r="AS609" t="inlineStr">
        <is>
          <t>No</t>
        </is>
      </c>
      <c r="AU609">
        <f>HYPERLINK("https://creighton-primo.hosted.exlibrisgroup.com/primo-explore/search?tab=default_tab&amp;search_scope=EVERYTHING&amp;vid=01CRU&amp;lang=en_US&amp;offset=0&amp;query=any,contains,991000910429702656","Catalog Record")</f>
        <v/>
      </c>
      <c r="AV609">
        <f>HYPERLINK("http://www.worldcat.org/oclc/74968036","WorldCat Record")</f>
        <v/>
      </c>
      <c r="AW609" t="inlineStr">
        <is>
          <t>198991356:eng</t>
        </is>
      </c>
      <c r="AX609" t="inlineStr">
        <is>
          <t>74968036</t>
        </is>
      </c>
      <c r="AY609" t="inlineStr">
        <is>
          <t>991000910429702656</t>
        </is>
      </c>
      <c r="AZ609" t="inlineStr">
        <is>
          <t>991000910429702656</t>
        </is>
      </c>
      <c r="BA609" t="inlineStr">
        <is>
          <t>2269365330002656</t>
        </is>
      </c>
      <c r="BB609" t="inlineStr">
        <is>
          <t>BOOK</t>
        </is>
      </c>
      <c r="BD609" t="inlineStr">
        <is>
          <t>9781402052910</t>
        </is>
      </c>
      <c r="BE609" t="inlineStr">
        <is>
          <t>30001005302775</t>
        </is>
      </c>
      <c r="BF609" t="inlineStr">
        <is>
          <t>893161463</t>
        </is>
      </c>
    </row>
    <row r="610">
      <c r="A610" t="inlineStr">
        <is>
          <t>No</t>
        </is>
      </c>
      <c r="B610" t="inlineStr">
        <is>
          <t>CUHSL</t>
        </is>
      </c>
      <c r="C610" t="inlineStr">
        <is>
          <t>SHELVES</t>
        </is>
      </c>
      <c r="D610" t="inlineStr">
        <is>
          <t>W 62 A456c 1986</t>
        </is>
      </c>
      <c r="E610" t="inlineStr">
        <is>
          <t>0                      W  0062000A  456c        1986</t>
        </is>
      </c>
      <c r="F610" t="inlineStr">
        <is>
          <t>A clinician's companion : a study guide for effective and humane patient care / Joseph S. Alpert, Stephen M. Wittenberg.</t>
        </is>
      </c>
      <c r="H610" t="inlineStr">
        <is>
          <t>No</t>
        </is>
      </c>
      <c r="I610" t="inlineStr">
        <is>
          <t>1</t>
        </is>
      </c>
      <c r="J610" t="inlineStr">
        <is>
          <t>No</t>
        </is>
      </c>
      <c r="K610" t="inlineStr">
        <is>
          <t>No</t>
        </is>
      </c>
      <c r="L610" t="inlineStr">
        <is>
          <t>0</t>
        </is>
      </c>
      <c r="M610" t="inlineStr">
        <is>
          <t>Alpert, Joseph S.</t>
        </is>
      </c>
      <c r="N610" t="inlineStr">
        <is>
          <t>Boston : Little, Brown, c1986.</t>
        </is>
      </c>
      <c r="O610" t="inlineStr">
        <is>
          <t>1986</t>
        </is>
      </c>
      <c r="P610" t="inlineStr">
        <is>
          <t>1st ed.</t>
        </is>
      </c>
      <c r="Q610" t="inlineStr">
        <is>
          <t>eng</t>
        </is>
      </c>
      <c r="R610" t="inlineStr">
        <is>
          <t>xxu</t>
        </is>
      </c>
      <c r="T610" t="inlineStr">
        <is>
          <t xml:space="preserve">W  </t>
        </is>
      </c>
      <c r="U610" t="n">
        <v>4</v>
      </c>
      <c r="V610" t="n">
        <v>4</v>
      </c>
      <c r="W610" t="inlineStr">
        <is>
          <t>2008-10-14</t>
        </is>
      </c>
      <c r="X610" t="inlineStr">
        <is>
          <t>2008-10-14</t>
        </is>
      </c>
      <c r="Y610" t="inlineStr">
        <is>
          <t>1987-10-21</t>
        </is>
      </c>
      <c r="Z610" t="inlineStr">
        <is>
          <t>1987-10-21</t>
        </is>
      </c>
      <c r="AA610" t="n">
        <v>115</v>
      </c>
      <c r="AB610" t="n">
        <v>99</v>
      </c>
      <c r="AC610" t="n">
        <v>101</v>
      </c>
      <c r="AD610" t="n">
        <v>1</v>
      </c>
      <c r="AE610" t="n">
        <v>1</v>
      </c>
      <c r="AF610" t="n">
        <v>1</v>
      </c>
      <c r="AG610" t="n">
        <v>1</v>
      </c>
      <c r="AH610" t="n">
        <v>0</v>
      </c>
      <c r="AI610" t="n">
        <v>0</v>
      </c>
      <c r="AJ610" t="n">
        <v>0</v>
      </c>
      <c r="AK610" t="n">
        <v>0</v>
      </c>
      <c r="AL610" t="n">
        <v>1</v>
      </c>
      <c r="AM610" t="n">
        <v>1</v>
      </c>
      <c r="AN610" t="n">
        <v>0</v>
      </c>
      <c r="AO610" t="n">
        <v>0</v>
      </c>
      <c r="AP610" t="n">
        <v>0</v>
      </c>
      <c r="AQ610" t="n">
        <v>0</v>
      </c>
      <c r="AR610" t="inlineStr">
        <is>
          <t>No</t>
        </is>
      </c>
      <c r="AS610" t="inlineStr">
        <is>
          <t>Yes</t>
        </is>
      </c>
      <c r="AT610">
        <f>HYPERLINK("http://catalog.hathitrust.org/Record/000672120","HathiTrust Record")</f>
        <v/>
      </c>
      <c r="AU610">
        <f>HYPERLINK("https://creighton-primo.hosted.exlibrisgroup.com/primo-explore/search?tab=default_tab&amp;search_scope=EVERYTHING&amp;vid=01CRU&amp;lang=en_US&amp;offset=0&amp;query=any,contains,991001529259702656","Catalog Record")</f>
        <v/>
      </c>
      <c r="AV610">
        <f>HYPERLINK("http://www.worldcat.org/oclc/14264934","WorldCat Record")</f>
        <v/>
      </c>
      <c r="AW610" t="inlineStr">
        <is>
          <t>372480773:eng</t>
        </is>
      </c>
      <c r="AX610" t="inlineStr">
        <is>
          <t>14264934</t>
        </is>
      </c>
      <c r="AY610" t="inlineStr">
        <is>
          <t>991001529259702656</t>
        </is>
      </c>
      <c r="AZ610" t="inlineStr">
        <is>
          <t>991001529259702656</t>
        </is>
      </c>
      <c r="BA610" t="inlineStr">
        <is>
          <t>2263515560002656</t>
        </is>
      </c>
      <c r="BB610" t="inlineStr">
        <is>
          <t>BOOK</t>
        </is>
      </c>
      <c r="BD610" t="inlineStr">
        <is>
          <t>9780316035118</t>
        </is>
      </c>
      <c r="BE610" t="inlineStr">
        <is>
          <t>30001000621013</t>
        </is>
      </c>
      <c r="BF610" t="inlineStr">
        <is>
          <t>893465634</t>
        </is>
      </c>
    </row>
    <row r="611">
      <c r="A611" t="inlineStr">
        <is>
          <t>No</t>
        </is>
      </c>
      <c r="B611" t="inlineStr">
        <is>
          <t>CUHSL</t>
        </is>
      </c>
      <c r="C611" t="inlineStr">
        <is>
          <t>SHELVES</t>
        </is>
      </c>
      <c r="D611" t="inlineStr">
        <is>
          <t>W 62 B882d 1967</t>
        </is>
      </c>
      <c r="E611" t="inlineStr">
        <is>
          <t>0                      W  0062000B  882d        1967</t>
        </is>
      </c>
      <c r="F611" t="inlineStr">
        <is>
          <t>The doctor-patient relationship / by Kevin Browne and Paul Freeling ; foreword by William A. R. Thomson.</t>
        </is>
      </c>
      <c r="H611" t="inlineStr">
        <is>
          <t>No</t>
        </is>
      </c>
      <c r="I611" t="inlineStr">
        <is>
          <t>1</t>
        </is>
      </c>
      <c r="J611" t="inlineStr">
        <is>
          <t>No</t>
        </is>
      </c>
      <c r="K611" t="inlineStr">
        <is>
          <t>No</t>
        </is>
      </c>
      <c r="L611" t="inlineStr">
        <is>
          <t>0</t>
        </is>
      </c>
      <c r="M611" t="inlineStr">
        <is>
          <t>Browne, Kevin.</t>
        </is>
      </c>
      <c r="N611" t="inlineStr">
        <is>
          <t>Edinburgh : E. &amp; S. Livingstone, 1967.</t>
        </is>
      </c>
      <c r="O611" t="inlineStr">
        <is>
          <t>1967</t>
        </is>
      </c>
      <c r="Q611" t="inlineStr">
        <is>
          <t>eng</t>
        </is>
      </c>
      <c r="R611" t="inlineStr">
        <is>
          <t>stk</t>
        </is>
      </c>
      <c r="T611" t="inlineStr">
        <is>
          <t xml:space="preserve">W  </t>
        </is>
      </c>
      <c r="U611" t="n">
        <v>4</v>
      </c>
      <c r="V611" t="n">
        <v>4</v>
      </c>
      <c r="W611" t="inlineStr">
        <is>
          <t>1999-03-13</t>
        </is>
      </c>
      <c r="X611" t="inlineStr">
        <is>
          <t>1999-03-13</t>
        </is>
      </c>
      <c r="Y611" t="inlineStr">
        <is>
          <t>1988-02-04</t>
        </is>
      </c>
      <c r="Z611" t="inlineStr">
        <is>
          <t>1988-02-04</t>
        </is>
      </c>
      <c r="AA611" t="n">
        <v>86</v>
      </c>
      <c r="AB611" t="n">
        <v>54</v>
      </c>
      <c r="AC611" t="n">
        <v>139</v>
      </c>
      <c r="AD611" t="n">
        <v>1</v>
      </c>
      <c r="AE611" t="n">
        <v>1</v>
      </c>
      <c r="AF611" t="n">
        <v>2</v>
      </c>
      <c r="AG611" t="n">
        <v>2</v>
      </c>
      <c r="AH611" t="n">
        <v>0</v>
      </c>
      <c r="AI611" t="n">
        <v>0</v>
      </c>
      <c r="AJ611" t="n">
        <v>0</v>
      </c>
      <c r="AK611" t="n">
        <v>0</v>
      </c>
      <c r="AL611" t="n">
        <v>2</v>
      </c>
      <c r="AM611" t="n">
        <v>2</v>
      </c>
      <c r="AN611" t="n">
        <v>0</v>
      </c>
      <c r="AO611" t="n">
        <v>0</v>
      </c>
      <c r="AP611" t="n">
        <v>0</v>
      </c>
      <c r="AQ611" t="n">
        <v>0</v>
      </c>
      <c r="AR611" t="inlineStr">
        <is>
          <t>No</t>
        </is>
      </c>
      <c r="AS611" t="inlineStr">
        <is>
          <t>Yes</t>
        </is>
      </c>
      <c r="AT611">
        <f>HYPERLINK("http://catalog.hathitrust.org/Record/001557883","HathiTrust Record")</f>
        <v/>
      </c>
      <c r="AU611">
        <f>HYPERLINK("https://creighton-primo.hosted.exlibrisgroup.com/primo-explore/search?tab=default_tab&amp;search_scope=EVERYTHING&amp;vid=01CRU&amp;lang=en_US&amp;offset=0&amp;query=any,contains,991001212329702656","Catalog Record")</f>
        <v/>
      </c>
      <c r="AV611">
        <f>HYPERLINK("http://www.worldcat.org/oclc/6240744","WorldCat Record")</f>
        <v/>
      </c>
      <c r="AW611" t="inlineStr">
        <is>
          <t>2462271:eng</t>
        </is>
      </c>
      <c r="AX611" t="inlineStr">
        <is>
          <t>6240744</t>
        </is>
      </c>
      <c r="AY611" t="inlineStr">
        <is>
          <t>991001212329702656</t>
        </is>
      </c>
      <c r="AZ611" t="inlineStr">
        <is>
          <t>991001212329702656</t>
        </is>
      </c>
      <c r="BA611" t="inlineStr">
        <is>
          <t>2267145330002656</t>
        </is>
      </c>
      <c r="BB611" t="inlineStr">
        <is>
          <t>BOOK</t>
        </is>
      </c>
      <c r="BE611" t="inlineStr">
        <is>
          <t>30001000990152</t>
        </is>
      </c>
      <c r="BF611" t="inlineStr">
        <is>
          <t>893284566</t>
        </is>
      </c>
    </row>
    <row r="612">
      <c r="A612" t="inlineStr">
        <is>
          <t>No</t>
        </is>
      </c>
      <c r="B612" t="inlineStr">
        <is>
          <t>CUHSL</t>
        </is>
      </c>
      <c r="C612" t="inlineStr">
        <is>
          <t>SHELVES</t>
        </is>
      </c>
      <c r="D612" t="inlineStr">
        <is>
          <t>W 62  B927q 1998</t>
        </is>
      </c>
      <c r="E612" t="inlineStr">
        <is>
          <t>0                      W  0062000B  927q        1998</t>
        </is>
      </c>
      <c r="F612" t="inlineStr">
        <is>
          <t>The quest for mercy : the forgotten ingredient in health care reform / by Roger J. Bulger.</t>
        </is>
      </c>
      <c r="H612" t="inlineStr">
        <is>
          <t>No</t>
        </is>
      </c>
      <c r="I612" t="inlineStr">
        <is>
          <t>1</t>
        </is>
      </c>
      <c r="J612" t="inlineStr">
        <is>
          <t>No</t>
        </is>
      </c>
      <c r="K612" t="inlineStr">
        <is>
          <t>No</t>
        </is>
      </c>
      <c r="L612" t="inlineStr">
        <is>
          <t>0</t>
        </is>
      </c>
      <c r="M612" t="inlineStr">
        <is>
          <t>Bulger, Roger J., 1933-</t>
        </is>
      </c>
      <c r="N612" t="inlineStr">
        <is>
          <t>Charlottesville, VA : Carden Jennings, c1998.</t>
        </is>
      </c>
      <c r="O612" t="inlineStr">
        <is>
          <t>1998</t>
        </is>
      </c>
      <c r="Q612" t="inlineStr">
        <is>
          <t>eng</t>
        </is>
      </c>
      <c r="R612" t="inlineStr">
        <is>
          <t>vau</t>
        </is>
      </c>
      <c r="T612" t="inlineStr">
        <is>
          <t xml:space="preserve">W  </t>
        </is>
      </c>
      <c r="U612" t="n">
        <v>0</v>
      </c>
      <c r="V612" t="n">
        <v>0</v>
      </c>
      <c r="W612" t="inlineStr">
        <is>
          <t>2007-01-29</t>
        </is>
      </c>
      <c r="X612" t="inlineStr">
        <is>
          <t>2007-01-29</t>
        </is>
      </c>
      <c r="Y612" t="inlineStr">
        <is>
          <t>2007-01-16</t>
        </is>
      </c>
      <c r="Z612" t="inlineStr">
        <is>
          <t>2007-01-16</t>
        </is>
      </c>
      <c r="AA612" t="n">
        <v>39</v>
      </c>
      <c r="AB612" t="n">
        <v>35</v>
      </c>
      <c r="AC612" t="n">
        <v>42</v>
      </c>
      <c r="AD612" t="n">
        <v>1</v>
      </c>
      <c r="AE612" t="n">
        <v>1</v>
      </c>
      <c r="AF612" t="n">
        <v>1</v>
      </c>
      <c r="AG612" t="n">
        <v>1</v>
      </c>
      <c r="AH612" t="n">
        <v>0</v>
      </c>
      <c r="AI612" t="n">
        <v>0</v>
      </c>
      <c r="AJ612" t="n">
        <v>0</v>
      </c>
      <c r="AK612" t="n">
        <v>0</v>
      </c>
      <c r="AL612" t="n">
        <v>1</v>
      </c>
      <c r="AM612" t="n">
        <v>1</v>
      </c>
      <c r="AN612" t="n">
        <v>0</v>
      </c>
      <c r="AO612" t="n">
        <v>0</v>
      </c>
      <c r="AP612" t="n">
        <v>0</v>
      </c>
      <c r="AQ612" t="n">
        <v>0</v>
      </c>
      <c r="AR612" t="inlineStr">
        <is>
          <t>No</t>
        </is>
      </c>
      <c r="AS612" t="inlineStr">
        <is>
          <t>Yes</t>
        </is>
      </c>
      <c r="AT612">
        <f>HYPERLINK("http://catalog.hathitrust.org/Record/004018201","HathiTrust Record")</f>
        <v/>
      </c>
      <c r="AU612">
        <f>HYPERLINK("https://creighton-primo.hosted.exlibrisgroup.com/primo-explore/search?tab=default_tab&amp;search_scope=EVERYTHING&amp;vid=01CRU&amp;lang=en_US&amp;offset=0&amp;query=any,contains,991000580909702656","Catalog Record")</f>
        <v/>
      </c>
      <c r="AV612">
        <f>HYPERLINK("http://www.worldcat.org/oclc/41123892","WorldCat Record")</f>
        <v/>
      </c>
      <c r="AW612" t="inlineStr">
        <is>
          <t>476235529:eng</t>
        </is>
      </c>
      <c r="AX612" t="inlineStr">
        <is>
          <t>41123892</t>
        </is>
      </c>
      <c r="AY612" t="inlineStr">
        <is>
          <t>991000580909702656</t>
        </is>
      </c>
      <c r="AZ612" t="inlineStr">
        <is>
          <t>991000580909702656</t>
        </is>
      </c>
      <c r="BA612" t="inlineStr">
        <is>
          <t>2256907270002656</t>
        </is>
      </c>
      <c r="BB612" t="inlineStr">
        <is>
          <t>BOOK</t>
        </is>
      </c>
      <c r="BD612" t="inlineStr">
        <is>
          <t>9781891524011</t>
        </is>
      </c>
      <c r="BE612" t="inlineStr">
        <is>
          <t>30001005209103</t>
        </is>
      </c>
      <c r="BF612" t="inlineStr">
        <is>
          <t>893539310</t>
        </is>
      </c>
    </row>
    <row r="613">
      <c r="A613" t="inlineStr">
        <is>
          <t>No</t>
        </is>
      </c>
      <c r="B613" t="inlineStr">
        <is>
          <t>CUHSL</t>
        </is>
      </c>
      <c r="C613" t="inlineStr">
        <is>
          <t>SHELVES</t>
        </is>
      </c>
      <c r="D613" t="inlineStr">
        <is>
          <t>W 62 C344h 1985</t>
        </is>
      </c>
      <c r="E613" t="inlineStr">
        <is>
          <t>0                      W  0062000C  344h        1985</t>
        </is>
      </c>
      <c r="F613" t="inlineStr">
        <is>
          <t>The healer's art / Eric J. Cassell.</t>
        </is>
      </c>
      <c r="H613" t="inlineStr">
        <is>
          <t>No</t>
        </is>
      </c>
      <c r="I613" t="inlineStr">
        <is>
          <t>1</t>
        </is>
      </c>
      <c r="J613" t="inlineStr">
        <is>
          <t>No</t>
        </is>
      </c>
      <c r="K613" t="inlineStr">
        <is>
          <t>Yes</t>
        </is>
      </c>
      <c r="L613" t="inlineStr">
        <is>
          <t>1</t>
        </is>
      </c>
      <c r="M613" t="inlineStr">
        <is>
          <t>Cassell, Eric J., 1928-</t>
        </is>
      </c>
      <c r="N613" t="inlineStr">
        <is>
          <t>Cambridge, Mass. : MIT Press, c1985.</t>
        </is>
      </c>
      <c r="O613" t="inlineStr">
        <is>
          <t>1985</t>
        </is>
      </c>
      <c r="P613" t="inlineStr">
        <is>
          <t>1st MIT Press ed.</t>
        </is>
      </c>
      <c r="Q613" t="inlineStr">
        <is>
          <t>eng</t>
        </is>
      </c>
      <c r="R613" t="inlineStr">
        <is>
          <t>xxu</t>
        </is>
      </c>
      <c r="T613" t="inlineStr">
        <is>
          <t xml:space="preserve">W  </t>
        </is>
      </c>
      <c r="U613" t="n">
        <v>4</v>
      </c>
      <c r="V613" t="n">
        <v>4</v>
      </c>
      <c r="W613" t="inlineStr">
        <is>
          <t>2010-08-28</t>
        </is>
      </c>
      <c r="X613" t="inlineStr">
        <is>
          <t>2010-08-28</t>
        </is>
      </c>
      <c r="Y613" t="inlineStr">
        <is>
          <t>1987-12-18</t>
        </is>
      </c>
      <c r="Z613" t="inlineStr">
        <is>
          <t>1987-12-18</t>
        </is>
      </c>
      <c r="AA613" t="n">
        <v>146</v>
      </c>
      <c r="AB613" t="n">
        <v>123</v>
      </c>
      <c r="AC613" t="n">
        <v>1103</v>
      </c>
      <c r="AD613" t="n">
        <v>1</v>
      </c>
      <c r="AE613" t="n">
        <v>16</v>
      </c>
      <c r="AF613" t="n">
        <v>2</v>
      </c>
      <c r="AG613" t="n">
        <v>39</v>
      </c>
      <c r="AH613" t="n">
        <v>1</v>
      </c>
      <c r="AI613" t="n">
        <v>10</v>
      </c>
      <c r="AJ613" t="n">
        <v>0</v>
      </c>
      <c r="AK613" t="n">
        <v>8</v>
      </c>
      <c r="AL613" t="n">
        <v>2</v>
      </c>
      <c r="AM613" t="n">
        <v>13</v>
      </c>
      <c r="AN613" t="n">
        <v>0</v>
      </c>
      <c r="AO613" t="n">
        <v>14</v>
      </c>
      <c r="AP613" t="n">
        <v>0</v>
      </c>
      <c r="AQ613" t="n">
        <v>1</v>
      </c>
      <c r="AR613" t="inlineStr">
        <is>
          <t>No</t>
        </is>
      </c>
      <c r="AS613" t="inlineStr">
        <is>
          <t>No</t>
        </is>
      </c>
      <c r="AU613">
        <f>HYPERLINK("https://creighton-primo.hosted.exlibrisgroup.com/primo-explore/search?tab=default_tab&amp;search_scope=EVERYTHING&amp;vid=01CRU&amp;lang=en_US&amp;offset=0&amp;query=any,contains,991001542599702656","Catalog Record")</f>
        <v/>
      </c>
      <c r="AV613">
        <f>HYPERLINK("http://www.worldcat.org/oclc/11399715","WorldCat Record")</f>
        <v/>
      </c>
      <c r="AW613" t="inlineStr">
        <is>
          <t>994583:eng</t>
        </is>
      </c>
      <c r="AX613" t="inlineStr">
        <is>
          <t>11399715</t>
        </is>
      </c>
      <c r="AY613" t="inlineStr">
        <is>
          <t>991001542599702656</t>
        </is>
      </c>
      <c r="AZ613" t="inlineStr">
        <is>
          <t>991001542599702656</t>
        </is>
      </c>
      <c r="BA613" t="inlineStr">
        <is>
          <t>2271564690002656</t>
        </is>
      </c>
      <c r="BB613" t="inlineStr">
        <is>
          <t>BOOK</t>
        </is>
      </c>
      <c r="BD613" t="inlineStr">
        <is>
          <t>9780262530620</t>
        </is>
      </c>
      <c r="BE613" t="inlineStr">
        <is>
          <t>30001000635955</t>
        </is>
      </c>
      <c r="BF613" t="inlineStr">
        <is>
          <t>893455918</t>
        </is>
      </c>
    </row>
    <row r="614">
      <c r="A614" t="inlineStr">
        <is>
          <t>No</t>
        </is>
      </c>
      <c r="B614" t="inlineStr">
        <is>
          <t>CUHSL</t>
        </is>
      </c>
      <c r="C614" t="inlineStr">
        <is>
          <t>SHELVES</t>
        </is>
      </c>
      <c r="D614" t="inlineStr">
        <is>
          <t>W 62 C555e 1986</t>
        </is>
      </c>
      <c r="E614" t="inlineStr">
        <is>
          <t>0                      W  0062000C  555e        1986</t>
        </is>
      </c>
      <c r="F614" t="inlineStr">
        <is>
          <t>Ethical issues in family medicine / Ronald J. Christie, C. Barry Hoffmaster.</t>
        </is>
      </c>
      <c r="H614" t="inlineStr">
        <is>
          <t>No</t>
        </is>
      </c>
      <c r="I614" t="inlineStr">
        <is>
          <t>1</t>
        </is>
      </c>
      <c r="J614" t="inlineStr">
        <is>
          <t>Yes</t>
        </is>
      </c>
      <c r="K614" t="inlineStr">
        <is>
          <t>No</t>
        </is>
      </c>
      <c r="L614" t="inlineStr">
        <is>
          <t>0</t>
        </is>
      </c>
      <c r="M614" t="inlineStr">
        <is>
          <t>Christie, Ronald J.</t>
        </is>
      </c>
      <c r="N614" t="inlineStr">
        <is>
          <t>New York : Oxford University Press, c1986.</t>
        </is>
      </c>
      <c r="O614" t="inlineStr">
        <is>
          <t>1986</t>
        </is>
      </c>
      <c r="Q614" t="inlineStr">
        <is>
          <t>eng</t>
        </is>
      </c>
      <c r="R614" t="inlineStr">
        <is>
          <t>xxu</t>
        </is>
      </c>
      <c r="T614" t="inlineStr">
        <is>
          <t xml:space="preserve">W  </t>
        </is>
      </c>
      <c r="U614" t="n">
        <v>6</v>
      </c>
      <c r="V614" t="n">
        <v>6</v>
      </c>
      <c r="W614" t="inlineStr">
        <is>
          <t>1993-04-26</t>
        </is>
      </c>
      <c r="X614" t="inlineStr">
        <is>
          <t>1993-04-26</t>
        </is>
      </c>
      <c r="Y614" t="inlineStr">
        <is>
          <t>1987-12-18</t>
        </is>
      </c>
      <c r="Z614" t="inlineStr">
        <is>
          <t>1987-12-18</t>
        </is>
      </c>
      <c r="AA614" t="n">
        <v>428</v>
      </c>
      <c r="AB614" t="n">
        <v>333</v>
      </c>
      <c r="AC614" t="n">
        <v>341</v>
      </c>
      <c r="AD614" t="n">
        <v>2</v>
      </c>
      <c r="AE614" t="n">
        <v>2</v>
      </c>
      <c r="AF614" t="n">
        <v>17</v>
      </c>
      <c r="AG614" t="n">
        <v>18</v>
      </c>
      <c r="AH614" t="n">
        <v>5</v>
      </c>
      <c r="AI614" t="n">
        <v>6</v>
      </c>
      <c r="AJ614" t="n">
        <v>3</v>
      </c>
      <c r="AK614" t="n">
        <v>3</v>
      </c>
      <c r="AL614" t="n">
        <v>9</v>
      </c>
      <c r="AM614" t="n">
        <v>10</v>
      </c>
      <c r="AN614" t="n">
        <v>0</v>
      </c>
      <c r="AO614" t="n">
        <v>0</v>
      </c>
      <c r="AP614" t="n">
        <v>4</v>
      </c>
      <c r="AQ614" t="n">
        <v>4</v>
      </c>
      <c r="AR614" t="inlineStr">
        <is>
          <t>No</t>
        </is>
      </c>
      <c r="AS614" t="inlineStr">
        <is>
          <t>Yes</t>
        </is>
      </c>
      <c r="AT614">
        <f>HYPERLINK("http://catalog.hathitrust.org/Record/000465735","HathiTrust Record")</f>
        <v/>
      </c>
      <c r="AU614">
        <f>HYPERLINK("https://creighton-primo.hosted.exlibrisgroup.com/primo-explore/search?tab=default_tab&amp;search_scope=EVERYTHING&amp;vid=01CRU&amp;lang=en_US&amp;offset=0&amp;query=any,contains,991001542639702656","Catalog Record")</f>
        <v/>
      </c>
      <c r="AV614">
        <f>HYPERLINK("http://www.worldcat.org/oclc/11971183","WorldCat Record")</f>
        <v/>
      </c>
      <c r="AW614" t="inlineStr">
        <is>
          <t>4508469:eng</t>
        </is>
      </c>
      <c r="AX614" t="inlineStr">
        <is>
          <t>11971183</t>
        </is>
      </c>
      <c r="AY614" t="inlineStr">
        <is>
          <t>991001542639702656</t>
        </is>
      </c>
      <c r="AZ614" t="inlineStr">
        <is>
          <t>991001542639702656</t>
        </is>
      </c>
      <c r="BA614" t="inlineStr">
        <is>
          <t>2264502050002656</t>
        </is>
      </c>
      <c r="BB614" t="inlineStr">
        <is>
          <t>BOOK</t>
        </is>
      </c>
      <c r="BD614" t="inlineStr">
        <is>
          <t>9780195036374</t>
        </is>
      </c>
      <c r="BE614" t="inlineStr">
        <is>
          <t>30001000635963</t>
        </is>
      </c>
      <c r="BF614" t="inlineStr">
        <is>
          <t>893649311</t>
        </is>
      </c>
    </row>
    <row r="615">
      <c r="A615" t="inlineStr">
        <is>
          <t>No</t>
        </is>
      </c>
      <c r="B615" t="inlineStr">
        <is>
          <t>CUHSL</t>
        </is>
      </c>
      <c r="C615" t="inlineStr">
        <is>
          <t>SHELVES</t>
        </is>
      </c>
      <c r="D615" t="inlineStr">
        <is>
          <t>W 62 C692m 1966</t>
        </is>
      </c>
      <c r="E615" t="inlineStr">
        <is>
          <t>0                      W  0062000C  692m        1966</t>
        </is>
      </c>
      <c r="F615" t="inlineStr">
        <is>
          <t>Medical innovation : a diffusion study / by James S. Coleman, Elihu Katz and Herbert Menzel. Foreword by Joseph A. Precker.</t>
        </is>
      </c>
      <c r="H615" t="inlineStr">
        <is>
          <t>No</t>
        </is>
      </c>
      <c r="I615" t="inlineStr">
        <is>
          <t>1</t>
        </is>
      </c>
      <c r="J615" t="inlineStr">
        <is>
          <t>No</t>
        </is>
      </c>
      <c r="K615" t="inlineStr">
        <is>
          <t>No</t>
        </is>
      </c>
      <c r="L615" t="inlineStr">
        <is>
          <t>0</t>
        </is>
      </c>
      <c r="M615" t="inlineStr">
        <is>
          <t>Coleman, James S., 1926-1995.</t>
        </is>
      </c>
      <c r="N615" t="inlineStr">
        <is>
          <t>Indianapolis : Bobbs-Merrill Co., c1966.</t>
        </is>
      </c>
      <c r="O615" t="inlineStr">
        <is>
          <t>1966</t>
        </is>
      </c>
      <c r="Q615" t="inlineStr">
        <is>
          <t>eng</t>
        </is>
      </c>
      <c r="R615" t="inlineStr">
        <is>
          <t>inu</t>
        </is>
      </c>
      <c r="T615" t="inlineStr">
        <is>
          <t xml:space="preserve">W  </t>
        </is>
      </c>
      <c r="U615" t="n">
        <v>2</v>
      </c>
      <c r="V615" t="n">
        <v>2</v>
      </c>
      <c r="W615" t="inlineStr">
        <is>
          <t>1997-03-03</t>
        </is>
      </c>
      <c r="X615" t="inlineStr">
        <is>
          <t>1997-03-03</t>
        </is>
      </c>
      <c r="Y615" t="inlineStr">
        <is>
          <t>1987-12-18</t>
        </is>
      </c>
      <c r="Z615" t="inlineStr">
        <is>
          <t>1987-12-18</t>
        </is>
      </c>
      <c r="AA615" t="n">
        <v>355</v>
      </c>
      <c r="AB615" t="n">
        <v>269</v>
      </c>
      <c r="AC615" t="n">
        <v>276</v>
      </c>
      <c r="AD615" t="n">
        <v>2</v>
      </c>
      <c r="AE615" t="n">
        <v>2</v>
      </c>
      <c r="AF615" t="n">
        <v>8</v>
      </c>
      <c r="AG615" t="n">
        <v>8</v>
      </c>
      <c r="AH615" t="n">
        <v>1</v>
      </c>
      <c r="AI615" t="n">
        <v>1</v>
      </c>
      <c r="AJ615" t="n">
        <v>2</v>
      </c>
      <c r="AK615" t="n">
        <v>2</v>
      </c>
      <c r="AL615" t="n">
        <v>5</v>
      </c>
      <c r="AM615" t="n">
        <v>5</v>
      </c>
      <c r="AN615" t="n">
        <v>1</v>
      </c>
      <c r="AO615" t="n">
        <v>1</v>
      </c>
      <c r="AP615" t="n">
        <v>0</v>
      </c>
      <c r="AQ615" t="n">
        <v>0</v>
      </c>
      <c r="AR615" t="inlineStr">
        <is>
          <t>No</t>
        </is>
      </c>
      <c r="AS615" t="inlineStr">
        <is>
          <t>Yes</t>
        </is>
      </c>
      <c r="AT615">
        <f>HYPERLINK("http://catalog.hathitrust.org/Record/001556779","HathiTrust Record")</f>
        <v/>
      </c>
      <c r="AU615">
        <f>HYPERLINK("https://creighton-primo.hosted.exlibrisgroup.com/primo-explore/search?tab=default_tab&amp;search_scope=EVERYTHING&amp;vid=01CRU&amp;lang=en_US&amp;offset=0&amp;query=any,contains,991001542679702656","Catalog Record")</f>
        <v/>
      </c>
      <c r="AV615">
        <f>HYPERLINK("http://www.worldcat.org/oclc/565386","WorldCat Record")</f>
        <v/>
      </c>
      <c r="AW615" t="inlineStr">
        <is>
          <t>198731177:eng</t>
        </is>
      </c>
      <c r="AX615" t="inlineStr">
        <is>
          <t>565386</t>
        </is>
      </c>
      <c r="AY615" t="inlineStr">
        <is>
          <t>991001542679702656</t>
        </is>
      </c>
      <c r="AZ615" t="inlineStr">
        <is>
          <t>991001542679702656</t>
        </is>
      </c>
      <c r="BA615" t="inlineStr">
        <is>
          <t>2258941730002656</t>
        </is>
      </c>
      <c r="BB615" t="inlineStr">
        <is>
          <t>BOOK</t>
        </is>
      </c>
      <c r="BE615" t="inlineStr">
        <is>
          <t>30001000635971</t>
        </is>
      </c>
      <c r="BF615" t="inlineStr">
        <is>
          <t>893643681</t>
        </is>
      </c>
    </row>
    <row r="616">
      <c r="A616" t="inlineStr">
        <is>
          <t>No</t>
        </is>
      </c>
      <c r="B616" t="inlineStr">
        <is>
          <t>CUHSL</t>
        </is>
      </c>
      <c r="C616" t="inlineStr">
        <is>
          <t>SHELVES</t>
        </is>
      </c>
      <c r="D616" t="inlineStr">
        <is>
          <t>W 62 D261p 1994</t>
        </is>
      </c>
      <c r="E616" t="inlineStr">
        <is>
          <t>0                      W  0062000D  261p        1994</t>
        </is>
      </c>
      <c r="F616" t="inlineStr">
        <is>
          <t>Patient practitioner interaction : an experiential manual for developing the art of health care / Carol M. Davis.</t>
        </is>
      </c>
      <c r="H616" t="inlineStr">
        <is>
          <t>No</t>
        </is>
      </c>
      <c r="I616" t="inlineStr">
        <is>
          <t>1</t>
        </is>
      </c>
      <c r="J616" t="inlineStr">
        <is>
          <t>No</t>
        </is>
      </c>
      <c r="K616" t="inlineStr">
        <is>
          <t>Yes</t>
        </is>
      </c>
      <c r="L616" t="inlineStr">
        <is>
          <t>0</t>
        </is>
      </c>
      <c r="M616" t="inlineStr">
        <is>
          <t>Davis, Carol M.</t>
        </is>
      </c>
      <c r="N616" t="inlineStr">
        <is>
          <t>Thorofare, NJ : SLACK Inc., c1994.</t>
        </is>
      </c>
      <c r="O616" t="inlineStr">
        <is>
          <t>1994</t>
        </is>
      </c>
      <c r="P616" t="inlineStr">
        <is>
          <t>2nd ed.</t>
        </is>
      </c>
      <c r="Q616" t="inlineStr">
        <is>
          <t>eng</t>
        </is>
      </c>
      <c r="R616" t="inlineStr">
        <is>
          <t>nju</t>
        </is>
      </c>
      <c r="T616" t="inlineStr">
        <is>
          <t xml:space="preserve">W  </t>
        </is>
      </c>
      <c r="U616" t="n">
        <v>14</v>
      </c>
      <c r="V616" t="n">
        <v>14</v>
      </c>
      <c r="W616" t="inlineStr">
        <is>
          <t>2009-11-05</t>
        </is>
      </c>
      <c r="X616" t="inlineStr">
        <is>
          <t>2009-11-05</t>
        </is>
      </c>
      <c r="Y616" t="inlineStr">
        <is>
          <t>1994-08-04</t>
        </is>
      </c>
      <c r="Z616" t="inlineStr">
        <is>
          <t>1994-08-04</t>
        </is>
      </c>
      <c r="AA616" t="n">
        <v>118</v>
      </c>
      <c r="AB616" t="n">
        <v>93</v>
      </c>
      <c r="AC616" t="n">
        <v>467</v>
      </c>
      <c r="AD616" t="n">
        <v>1</v>
      </c>
      <c r="AE616" t="n">
        <v>2</v>
      </c>
      <c r="AF616" t="n">
        <v>6</v>
      </c>
      <c r="AG616" t="n">
        <v>19</v>
      </c>
      <c r="AH616" t="n">
        <v>3</v>
      </c>
      <c r="AI616" t="n">
        <v>9</v>
      </c>
      <c r="AJ616" t="n">
        <v>1</v>
      </c>
      <c r="AK616" t="n">
        <v>4</v>
      </c>
      <c r="AL616" t="n">
        <v>4</v>
      </c>
      <c r="AM616" t="n">
        <v>8</v>
      </c>
      <c r="AN616" t="n">
        <v>0</v>
      </c>
      <c r="AO616" t="n">
        <v>1</v>
      </c>
      <c r="AP616" t="n">
        <v>0</v>
      </c>
      <c r="AQ616" t="n">
        <v>0</v>
      </c>
      <c r="AR616" t="inlineStr">
        <is>
          <t>No</t>
        </is>
      </c>
      <c r="AS616" t="inlineStr">
        <is>
          <t>Yes</t>
        </is>
      </c>
      <c r="AT616">
        <f>HYPERLINK("http://catalog.hathitrust.org/Record/004582234","HathiTrust Record")</f>
        <v/>
      </c>
      <c r="AU616">
        <f>HYPERLINK("https://creighton-primo.hosted.exlibrisgroup.com/primo-explore/search?tab=default_tab&amp;search_scope=EVERYTHING&amp;vid=01CRU&amp;lang=en_US&amp;offset=0&amp;query=any,contains,991001480319702656","Catalog Record")</f>
        <v/>
      </c>
      <c r="AV616">
        <f>HYPERLINK("http://www.worldcat.org/oclc/29478003","WorldCat Record")</f>
        <v/>
      </c>
      <c r="AW616" t="inlineStr">
        <is>
          <t>4916868210:eng</t>
        </is>
      </c>
      <c r="AX616" t="inlineStr">
        <is>
          <t>29478003</t>
        </is>
      </c>
      <c r="AY616" t="inlineStr">
        <is>
          <t>991001480319702656</t>
        </is>
      </c>
      <c r="AZ616" t="inlineStr">
        <is>
          <t>991001480319702656</t>
        </is>
      </c>
      <c r="BA616" t="inlineStr">
        <is>
          <t>2269039960002656</t>
        </is>
      </c>
      <c r="BB616" t="inlineStr">
        <is>
          <t>BOOK</t>
        </is>
      </c>
      <c r="BD616" t="inlineStr">
        <is>
          <t>9781556422324</t>
        </is>
      </c>
      <c r="BE616" t="inlineStr">
        <is>
          <t>30001002568881</t>
        </is>
      </c>
      <c r="BF616" t="inlineStr">
        <is>
          <t>893168214</t>
        </is>
      </c>
    </row>
    <row r="617">
      <c r="A617" t="inlineStr">
        <is>
          <t>No</t>
        </is>
      </c>
      <c r="B617" t="inlineStr">
        <is>
          <t>CUHSL</t>
        </is>
      </c>
      <c r="C617" t="inlineStr">
        <is>
          <t>SHELVES</t>
        </is>
      </c>
      <c r="D617" t="inlineStr">
        <is>
          <t>W 62 E55 1993</t>
        </is>
      </c>
      <c r="E617" t="inlineStr">
        <is>
          <t>0                      W  0062000E  55          1993</t>
        </is>
      </c>
      <c r="F617" t="inlineStr">
        <is>
          <t>Empathy and the practice of medicine : beyond pills and the scalpel / edited by Howard M. Spiro ... [et al.].</t>
        </is>
      </c>
      <c r="H617" t="inlineStr">
        <is>
          <t>No</t>
        </is>
      </c>
      <c r="I617" t="inlineStr">
        <is>
          <t>1</t>
        </is>
      </c>
      <c r="J617" t="inlineStr">
        <is>
          <t>No</t>
        </is>
      </c>
      <c r="K617" t="inlineStr">
        <is>
          <t>No</t>
        </is>
      </c>
      <c r="L617" t="inlineStr">
        <is>
          <t>1</t>
        </is>
      </c>
      <c r="N617" t="inlineStr">
        <is>
          <t>New Haven : Yale University Press, c1993.</t>
        </is>
      </c>
      <c r="O617" t="inlineStr">
        <is>
          <t>1993</t>
        </is>
      </c>
      <c r="Q617" t="inlineStr">
        <is>
          <t>eng</t>
        </is>
      </c>
      <c r="R617" t="inlineStr">
        <is>
          <t>ctu</t>
        </is>
      </c>
      <c r="T617" t="inlineStr">
        <is>
          <t xml:space="preserve">W  </t>
        </is>
      </c>
      <c r="U617" t="n">
        <v>4</v>
      </c>
      <c r="V617" t="n">
        <v>4</v>
      </c>
      <c r="W617" t="inlineStr">
        <is>
          <t>2010-11-17</t>
        </is>
      </c>
      <c r="X617" t="inlineStr">
        <is>
          <t>2010-11-17</t>
        </is>
      </c>
      <c r="Y617" t="inlineStr">
        <is>
          <t>2002-07-02</t>
        </is>
      </c>
      <c r="Z617" t="inlineStr">
        <is>
          <t>2002-07-02</t>
        </is>
      </c>
      <c r="AA617" t="n">
        <v>478</v>
      </c>
      <c r="AB617" t="n">
        <v>381</v>
      </c>
      <c r="AC617" t="n">
        <v>1114</v>
      </c>
      <c r="AD617" t="n">
        <v>1</v>
      </c>
      <c r="AE617" t="n">
        <v>14</v>
      </c>
      <c r="AF617" t="n">
        <v>11</v>
      </c>
      <c r="AG617" t="n">
        <v>39</v>
      </c>
      <c r="AH617" t="n">
        <v>3</v>
      </c>
      <c r="AI617" t="n">
        <v>10</v>
      </c>
      <c r="AJ617" t="n">
        <v>2</v>
      </c>
      <c r="AK617" t="n">
        <v>7</v>
      </c>
      <c r="AL617" t="n">
        <v>8</v>
      </c>
      <c r="AM617" t="n">
        <v>15</v>
      </c>
      <c r="AN617" t="n">
        <v>0</v>
      </c>
      <c r="AO617" t="n">
        <v>12</v>
      </c>
      <c r="AP617" t="n">
        <v>1</v>
      </c>
      <c r="AQ617" t="n">
        <v>2</v>
      </c>
      <c r="AR617" t="inlineStr">
        <is>
          <t>No</t>
        </is>
      </c>
      <c r="AS617" t="inlineStr">
        <is>
          <t>No</t>
        </is>
      </c>
      <c r="AU617">
        <f>HYPERLINK("https://creighton-primo.hosted.exlibrisgroup.com/primo-explore/search?tab=default_tab&amp;search_scope=EVERYTHING&amp;vid=01CRU&amp;lang=en_US&amp;offset=0&amp;query=any,contains,991000322339702656","Catalog Record")</f>
        <v/>
      </c>
      <c r="AV617">
        <f>HYPERLINK("http://www.worldcat.org/oclc/28377147","WorldCat Record")</f>
        <v/>
      </c>
      <c r="AW617" t="inlineStr">
        <is>
          <t>800090557:eng</t>
        </is>
      </c>
      <c r="AX617" t="inlineStr">
        <is>
          <t>28377147</t>
        </is>
      </c>
      <c r="AY617" t="inlineStr">
        <is>
          <t>991000322339702656</t>
        </is>
      </c>
      <c r="AZ617" t="inlineStr">
        <is>
          <t>991000322339702656</t>
        </is>
      </c>
      <c r="BA617" t="inlineStr">
        <is>
          <t>2255918380002656</t>
        </is>
      </c>
      <c r="BB617" t="inlineStr">
        <is>
          <t>BOOK</t>
        </is>
      </c>
      <c r="BD617" t="inlineStr">
        <is>
          <t>9780300058406</t>
        </is>
      </c>
      <c r="BE617" t="inlineStr">
        <is>
          <t>30001004444198</t>
        </is>
      </c>
      <c r="BF617" t="inlineStr">
        <is>
          <t>893811383</t>
        </is>
      </c>
    </row>
    <row r="618">
      <c r="A618" t="inlineStr">
        <is>
          <t>No</t>
        </is>
      </c>
      <c r="B618" t="inlineStr">
        <is>
          <t>CUHSL</t>
        </is>
      </c>
      <c r="C618" t="inlineStr">
        <is>
          <t>SHELVES</t>
        </is>
      </c>
      <c r="D618" t="inlineStr">
        <is>
          <t>W 62 E558 1987</t>
        </is>
      </c>
      <c r="E618" t="inlineStr">
        <is>
          <t>0                      W  0062000E  558         1987</t>
        </is>
      </c>
      <c r="F618" t="inlineStr">
        <is>
          <t>Encounters between patients and doctors : an anthology / edited by John D. Stoeckle.</t>
        </is>
      </c>
      <c r="H618" t="inlineStr">
        <is>
          <t>No</t>
        </is>
      </c>
      <c r="I618" t="inlineStr">
        <is>
          <t>1</t>
        </is>
      </c>
      <c r="J618" t="inlineStr">
        <is>
          <t>Yes</t>
        </is>
      </c>
      <c r="K618" t="inlineStr">
        <is>
          <t>No</t>
        </is>
      </c>
      <c r="L618" t="inlineStr">
        <is>
          <t>0</t>
        </is>
      </c>
      <c r="N618" t="inlineStr">
        <is>
          <t>Cambridge, Mass. : MIT Press, c1987.</t>
        </is>
      </c>
      <c r="O618" t="inlineStr">
        <is>
          <t>1987</t>
        </is>
      </c>
      <c r="Q618" t="inlineStr">
        <is>
          <t>eng</t>
        </is>
      </c>
      <c r="R618" t="inlineStr">
        <is>
          <t>xxu</t>
        </is>
      </c>
      <c r="S618" t="inlineStr">
        <is>
          <t>MIT Press series on the humanistic and social dimensions of medicine ; 5</t>
        </is>
      </c>
      <c r="T618" t="inlineStr">
        <is>
          <t xml:space="preserve">W  </t>
        </is>
      </c>
      <c r="U618" t="n">
        <v>4</v>
      </c>
      <c r="V618" t="n">
        <v>4</v>
      </c>
      <c r="W618" t="inlineStr">
        <is>
          <t>2003-09-22</t>
        </is>
      </c>
      <c r="X618" t="inlineStr">
        <is>
          <t>2003-09-22</t>
        </is>
      </c>
      <c r="Y618" t="inlineStr">
        <is>
          <t>1987-12-18</t>
        </is>
      </c>
      <c r="Z618" t="inlineStr">
        <is>
          <t>1987-12-18</t>
        </is>
      </c>
      <c r="AA618" t="n">
        <v>271</v>
      </c>
      <c r="AB618" t="n">
        <v>214</v>
      </c>
      <c r="AC618" t="n">
        <v>221</v>
      </c>
      <c r="AD618" t="n">
        <v>2</v>
      </c>
      <c r="AE618" t="n">
        <v>2</v>
      </c>
      <c r="AF618" t="n">
        <v>10</v>
      </c>
      <c r="AG618" t="n">
        <v>10</v>
      </c>
      <c r="AH618" t="n">
        <v>3</v>
      </c>
      <c r="AI618" t="n">
        <v>3</v>
      </c>
      <c r="AJ618" t="n">
        <v>5</v>
      </c>
      <c r="AK618" t="n">
        <v>5</v>
      </c>
      <c r="AL618" t="n">
        <v>8</v>
      </c>
      <c r="AM618" t="n">
        <v>8</v>
      </c>
      <c r="AN618" t="n">
        <v>0</v>
      </c>
      <c r="AO618" t="n">
        <v>0</v>
      </c>
      <c r="AP618" t="n">
        <v>0</v>
      </c>
      <c r="AQ618" t="n">
        <v>0</v>
      </c>
      <c r="AR618" t="inlineStr">
        <is>
          <t>No</t>
        </is>
      </c>
      <c r="AS618" t="inlineStr">
        <is>
          <t>Yes</t>
        </is>
      </c>
      <c r="AT618">
        <f>HYPERLINK("http://catalog.hathitrust.org/Record/000811226","HathiTrust Record")</f>
        <v/>
      </c>
      <c r="AU618">
        <f>HYPERLINK("https://creighton-primo.hosted.exlibrisgroup.com/primo-explore/search?tab=default_tab&amp;search_scope=EVERYTHING&amp;vid=01CRU&amp;lang=en_US&amp;offset=0&amp;query=any,contains,991000762169702656","Catalog Record")</f>
        <v/>
      </c>
      <c r="AV618">
        <f>HYPERLINK("http://www.worldcat.org/oclc/13793062","WorldCat Record")</f>
        <v/>
      </c>
      <c r="AW618" t="inlineStr">
        <is>
          <t>836656230:eng</t>
        </is>
      </c>
      <c r="AX618" t="inlineStr">
        <is>
          <t>13793062</t>
        </is>
      </c>
      <c r="AY618" t="inlineStr">
        <is>
          <t>991000762169702656</t>
        </is>
      </c>
      <c r="AZ618" t="inlineStr">
        <is>
          <t>991000762169702656</t>
        </is>
      </c>
      <c r="BA618" t="inlineStr">
        <is>
          <t>2265188090002656</t>
        </is>
      </c>
      <c r="BB618" t="inlineStr">
        <is>
          <t>BOOK</t>
        </is>
      </c>
      <c r="BD618" t="inlineStr">
        <is>
          <t>9780262192354</t>
        </is>
      </c>
      <c r="BE618" t="inlineStr">
        <is>
          <t>30001000056376</t>
        </is>
      </c>
      <c r="BF618" t="inlineStr">
        <is>
          <t>893373654</t>
        </is>
      </c>
    </row>
    <row r="619">
      <c r="A619" t="inlineStr">
        <is>
          <t>No</t>
        </is>
      </c>
      <c r="B619" t="inlineStr">
        <is>
          <t>CUHSL</t>
        </is>
      </c>
      <c r="C619" t="inlineStr">
        <is>
          <t>SHELVES</t>
        </is>
      </c>
      <c r="D619" t="inlineStr">
        <is>
          <t>W 62 F536i 1988</t>
        </is>
      </c>
      <c r="E619" t="inlineStr">
        <is>
          <t>0                      W  0062000F  536i        1988</t>
        </is>
      </c>
      <c r="F619" t="inlineStr">
        <is>
          <t>In the patient's best interest : women and the politics of medical decisions / Sue Fisher.</t>
        </is>
      </c>
      <c r="H619" t="inlineStr">
        <is>
          <t>No</t>
        </is>
      </c>
      <c r="I619" t="inlineStr">
        <is>
          <t>1</t>
        </is>
      </c>
      <c r="J619" t="inlineStr">
        <is>
          <t>No</t>
        </is>
      </c>
      <c r="K619" t="inlineStr">
        <is>
          <t>No</t>
        </is>
      </c>
      <c r="L619" t="inlineStr">
        <is>
          <t>0</t>
        </is>
      </c>
      <c r="M619" t="inlineStr">
        <is>
          <t>Fisher, Sue, 1936-</t>
        </is>
      </c>
      <c r="N619" t="inlineStr">
        <is>
          <t>New Brunswick, N.J. : Rutgers University Press, 1988.</t>
        </is>
      </c>
      <c r="O619" t="inlineStr">
        <is>
          <t>1988</t>
        </is>
      </c>
      <c r="Q619" t="inlineStr">
        <is>
          <t>eng</t>
        </is>
      </c>
      <c r="R619" t="inlineStr">
        <is>
          <t>enk</t>
        </is>
      </c>
      <c r="T619" t="inlineStr">
        <is>
          <t xml:space="preserve">W  </t>
        </is>
      </c>
      <c r="U619" t="n">
        <v>11</v>
      </c>
      <c r="V619" t="n">
        <v>11</v>
      </c>
      <c r="W619" t="inlineStr">
        <is>
          <t>2000-03-31</t>
        </is>
      </c>
      <c r="X619" t="inlineStr">
        <is>
          <t>2000-03-31</t>
        </is>
      </c>
      <c r="Y619" t="inlineStr">
        <is>
          <t>1988-07-20</t>
        </is>
      </c>
      <c r="Z619" t="inlineStr">
        <is>
          <t>1988-07-20</t>
        </is>
      </c>
      <c r="AA619" t="n">
        <v>44</v>
      </c>
      <c r="AB619" t="n">
        <v>31</v>
      </c>
      <c r="AC619" t="n">
        <v>467</v>
      </c>
      <c r="AD619" t="n">
        <v>1</v>
      </c>
      <c r="AE619" t="n">
        <v>1</v>
      </c>
      <c r="AF619" t="n">
        <v>0</v>
      </c>
      <c r="AG619" t="n">
        <v>22</v>
      </c>
      <c r="AH619" t="n">
        <v>0</v>
      </c>
      <c r="AI619" t="n">
        <v>6</v>
      </c>
      <c r="AJ619" t="n">
        <v>0</v>
      </c>
      <c r="AK619" t="n">
        <v>5</v>
      </c>
      <c r="AL619" t="n">
        <v>0</v>
      </c>
      <c r="AM619" t="n">
        <v>14</v>
      </c>
      <c r="AN619" t="n">
        <v>0</v>
      </c>
      <c r="AO619" t="n">
        <v>0</v>
      </c>
      <c r="AP619" t="n">
        <v>0</v>
      </c>
      <c r="AQ619" t="n">
        <v>3</v>
      </c>
      <c r="AR619" t="inlineStr">
        <is>
          <t>No</t>
        </is>
      </c>
      <c r="AS619" t="inlineStr">
        <is>
          <t>No</t>
        </is>
      </c>
      <c r="AU619">
        <f>HYPERLINK("https://creighton-primo.hosted.exlibrisgroup.com/primo-explore/search?tab=default_tab&amp;search_scope=EVERYTHING&amp;vid=01CRU&amp;lang=en_US&amp;offset=0&amp;query=any,contains,991001418869702656","Catalog Record")</f>
        <v/>
      </c>
      <c r="AV619">
        <f>HYPERLINK("http://www.worldcat.org/oclc/21696311","WorldCat Record")</f>
        <v/>
      </c>
      <c r="AW619" t="inlineStr">
        <is>
          <t>793893630:eng</t>
        </is>
      </c>
      <c r="AX619" t="inlineStr">
        <is>
          <t>21696311</t>
        </is>
      </c>
      <c r="AY619" t="inlineStr">
        <is>
          <t>991001418869702656</t>
        </is>
      </c>
      <c r="AZ619" t="inlineStr">
        <is>
          <t>991001418869702656</t>
        </is>
      </c>
      <c r="BA619" t="inlineStr">
        <is>
          <t>2271278060002656</t>
        </is>
      </c>
      <c r="BB619" t="inlineStr">
        <is>
          <t>BOOK</t>
        </is>
      </c>
      <c r="BD619" t="inlineStr">
        <is>
          <t>9780813513058</t>
        </is>
      </c>
      <c r="BE619" t="inlineStr">
        <is>
          <t>30001001181629</t>
        </is>
      </c>
      <c r="BF619" t="inlineStr">
        <is>
          <t>893161973</t>
        </is>
      </c>
    </row>
    <row r="620">
      <c r="A620" t="inlineStr">
        <is>
          <t>No</t>
        </is>
      </c>
      <c r="B620" t="inlineStr">
        <is>
          <t>CUHSL</t>
        </is>
      </c>
      <c r="C620" t="inlineStr">
        <is>
          <t>SHELVES</t>
        </is>
      </c>
      <c r="D620" t="inlineStr">
        <is>
          <t>W 62 G362m 1983</t>
        </is>
      </c>
      <c r="E620" t="inlineStr">
        <is>
          <t>0                      W  0062000G  362m        1983</t>
        </is>
      </c>
      <c r="F620" t="inlineStr">
        <is>
          <t>Married to their careers : career and family dilemmas in doctors' lives / Lane A. Gerber.</t>
        </is>
      </c>
      <c r="H620" t="inlineStr">
        <is>
          <t>No</t>
        </is>
      </c>
      <c r="I620" t="inlineStr">
        <is>
          <t>1</t>
        </is>
      </c>
      <c r="J620" t="inlineStr">
        <is>
          <t>No</t>
        </is>
      </c>
      <c r="K620" t="inlineStr">
        <is>
          <t>No</t>
        </is>
      </c>
      <c r="L620" t="inlineStr">
        <is>
          <t>0</t>
        </is>
      </c>
      <c r="M620" t="inlineStr">
        <is>
          <t>Gerber, Lane A.</t>
        </is>
      </c>
      <c r="N620" t="inlineStr">
        <is>
          <t>New York : Tavistock, c1983.</t>
        </is>
      </c>
      <c r="O620" t="inlineStr">
        <is>
          <t>1983</t>
        </is>
      </c>
      <c r="Q620" t="inlineStr">
        <is>
          <t>eng</t>
        </is>
      </c>
      <c r="R620" t="inlineStr">
        <is>
          <t>xxu</t>
        </is>
      </c>
      <c r="T620" t="inlineStr">
        <is>
          <t xml:space="preserve">W  </t>
        </is>
      </c>
      <c r="U620" t="n">
        <v>8</v>
      </c>
      <c r="V620" t="n">
        <v>8</v>
      </c>
      <c r="W620" t="inlineStr">
        <is>
          <t>1995-03-28</t>
        </is>
      </c>
      <c r="X620" t="inlineStr">
        <is>
          <t>1995-03-28</t>
        </is>
      </c>
      <c r="Y620" t="inlineStr">
        <is>
          <t>1987-12-18</t>
        </is>
      </c>
      <c r="Z620" t="inlineStr">
        <is>
          <t>1987-12-18</t>
        </is>
      </c>
      <c r="AA620" t="n">
        <v>283</v>
      </c>
      <c r="AB620" t="n">
        <v>211</v>
      </c>
      <c r="AC620" t="n">
        <v>216</v>
      </c>
      <c r="AD620" t="n">
        <v>1</v>
      </c>
      <c r="AE620" t="n">
        <v>1</v>
      </c>
      <c r="AF620" t="n">
        <v>10</v>
      </c>
      <c r="AG620" t="n">
        <v>10</v>
      </c>
      <c r="AH620" t="n">
        <v>2</v>
      </c>
      <c r="AI620" t="n">
        <v>2</v>
      </c>
      <c r="AJ620" t="n">
        <v>4</v>
      </c>
      <c r="AK620" t="n">
        <v>4</v>
      </c>
      <c r="AL620" t="n">
        <v>6</v>
      </c>
      <c r="AM620" t="n">
        <v>6</v>
      </c>
      <c r="AN620" t="n">
        <v>0</v>
      </c>
      <c r="AO620" t="n">
        <v>0</v>
      </c>
      <c r="AP620" t="n">
        <v>0</v>
      </c>
      <c r="AQ620" t="n">
        <v>0</v>
      </c>
      <c r="AR620" t="inlineStr">
        <is>
          <t>No</t>
        </is>
      </c>
      <c r="AS620" t="inlineStr">
        <is>
          <t>No</t>
        </is>
      </c>
      <c r="AU620">
        <f>HYPERLINK("https://creighton-primo.hosted.exlibrisgroup.com/primo-explore/search?tab=default_tab&amp;search_scope=EVERYTHING&amp;vid=01CRU&amp;lang=en_US&amp;offset=0&amp;query=any,contains,991001542759702656","Catalog Record")</f>
        <v/>
      </c>
      <c r="AV620">
        <f>HYPERLINK("http://www.worldcat.org/oclc/8765102","WorldCat Record")</f>
        <v/>
      </c>
      <c r="AW620" t="inlineStr">
        <is>
          <t>956877478:eng</t>
        </is>
      </c>
      <c r="AX620" t="inlineStr">
        <is>
          <t>8765102</t>
        </is>
      </c>
      <c r="AY620" t="inlineStr">
        <is>
          <t>991001542759702656</t>
        </is>
      </c>
      <c r="AZ620" t="inlineStr">
        <is>
          <t>991001542759702656</t>
        </is>
      </c>
      <c r="BA620" t="inlineStr">
        <is>
          <t>2265307290002656</t>
        </is>
      </c>
      <c r="BB620" t="inlineStr">
        <is>
          <t>BOOK</t>
        </is>
      </c>
      <c r="BD620" t="inlineStr">
        <is>
          <t>9780422782401</t>
        </is>
      </c>
      <c r="BE620" t="inlineStr">
        <is>
          <t>30001000635997</t>
        </is>
      </c>
      <c r="BF620" t="inlineStr">
        <is>
          <t>893736702</t>
        </is>
      </c>
    </row>
    <row r="621">
      <c r="A621" t="inlineStr">
        <is>
          <t>No</t>
        </is>
      </c>
      <c r="B621" t="inlineStr">
        <is>
          <t>CUHSL</t>
        </is>
      </c>
      <c r="C621" t="inlineStr">
        <is>
          <t>SHELVES</t>
        </is>
      </c>
      <c r="D621" t="inlineStr">
        <is>
          <t>W 62 G378i 1980</t>
        </is>
      </c>
      <c r="E621" t="inlineStr">
        <is>
          <t>0                      W  0062000G  378i        1980</t>
        </is>
      </c>
      <c r="F621" t="inlineStr">
        <is>
          <t>Interpersonal skills for health professionals / Brian Gerrard, Wendy Boniface, Barbara Love.</t>
        </is>
      </c>
      <c r="H621" t="inlineStr">
        <is>
          <t>No</t>
        </is>
      </c>
      <c r="I621" t="inlineStr">
        <is>
          <t>1</t>
        </is>
      </c>
      <c r="J621" t="inlineStr">
        <is>
          <t>No</t>
        </is>
      </c>
      <c r="K621" t="inlineStr">
        <is>
          <t>No</t>
        </is>
      </c>
      <c r="L621" t="inlineStr">
        <is>
          <t>0</t>
        </is>
      </c>
      <c r="M621" t="inlineStr">
        <is>
          <t>Gerrard, Brian A.</t>
        </is>
      </c>
      <c r="N621" t="inlineStr">
        <is>
          <t>Reston, Va. : Reston Pub. Co., c1980.</t>
        </is>
      </c>
      <c r="O621" t="inlineStr">
        <is>
          <t>1980</t>
        </is>
      </c>
      <c r="Q621" t="inlineStr">
        <is>
          <t>eng</t>
        </is>
      </c>
      <c r="R621" t="inlineStr">
        <is>
          <t>xxu</t>
        </is>
      </c>
      <c r="T621" t="inlineStr">
        <is>
          <t xml:space="preserve">W  </t>
        </is>
      </c>
      <c r="U621" t="n">
        <v>6</v>
      </c>
      <c r="V621" t="n">
        <v>6</v>
      </c>
      <c r="W621" t="inlineStr">
        <is>
          <t>2003-04-17</t>
        </is>
      </c>
      <c r="X621" t="inlineStr">
        <is>
          <t>2003-04-17</t>
        </is>
      </c>
      <c r="Y621" t="inlineStr">
        <is>
          <t>1987-12-18</t>
        </is>
      </c>
      <c r="Z621" t="inlineStr">
        <is>
          <t>1987-12-18</t>
        </is>
      </c>
      <c r="AA621" t="n">
        <v>258</v>
      </c>
      <c r="AB621" t="n">
        <v>194</v>
      </c>
      <c r="AC621" t="n">
        <v>200</v>
      </c>
      <c r="AD621" t="n">
        <v>2</v>
      </c>
      <c r="AE621" t="n">
        <v>2</v>
      </c>
      <c r="AF621" t="n">
        <v>7</v>
      </c>
      <c r="AG621" t="n">
        <v>7</v>
      </c>
      <c r="AH621" t="n">
        <v>2</v>
      </c>
      <c r="AI621" t="n">
        <v>2</v>
      </c>
      <c r="AJ621" t="n">
        <v>1</v>
      </c>
      <c r="AK621" t="n">
        <v>1</v>
      </c>
      <c r="AL621" t="n">
        <v>5</v>
      </c>
      <c r="AM621" t="n">
        <v>5</v>
      </c>
      <c r="AN621" t="n">
        <v>1</v>
      </c>
      <c r="AO621" t="n">
        <v>1</v>
      </c>
      <c r="AP621" t="n">
        <v>0</v>
      </c>
      <c r="AQ621" t="n">
        <v>0</v>
      </c>
      <c r="AR621" t="inlineStr">
        <is>
          <t>No</t>
        </is>
      </c>
      <c r="AS621" t="inlineStr">
        <is>
          <t>Yes</t>
        </is>
      </c>
      <c r="AT621">
        <f>HYPERLINK("http://catalog.hathitrust.org/Record/000732547","HathiTrust Record")</f>
        <v/>
      </c>
      <c r="AU621">
        <f>HYPERLINK("https://creighton-primo.hosted.exlibrisgroup.com/primo-explore/search?tab=default_tab&amp;search_scope=EVERYTHING&amp;vid=01CRU&amp;lang=en_US&amp;offset=0&amp;query=any,contains,991001542799702656","Catalog Record")</f>
        <v/>
      </c>
      <c r="AV621">
        <f>HYPERLINK("http://www.worldcat.org/oclc/6195862","WorldCat Record")</f>
        <v/>
      </c>
      <c r="AW621" t="inlineStr">
        <is>
          <t>497552:eng</t>
        </is>
      </c>
      <c r="AX621" t="inlineStr">
        <is>
          <t>6195862</t>
        </is>
      </c>
      <c r="AY621" t="inlineStr">
        <is>
          <t>991001542799702656</t>
        </is>
      </c>
      <c r="AZ621" t="inlineStr">
        <is>
          <t>991001542799702656</t>
        </is>
      </c>
      <c r="BA621" t="inlineStr">
        <is>
          <t>2257044330002656</t>
        </is>
      </c>
      <c r="BB621" t="inlineStr">
        <is>
          <t>BOOK</t>
        </is>
      </c>
      <c r="BD621" t="inlineStr">
        <is>
          <t>9780835931380</t>
        </is>
      </c>
      <c r="BE621" t="inlineStr">
        <is>
          <t>30001000636003</t>
        </is>
      </c>
      <c r="BF621" t="inlineStr">
        <is>
          <t>893374708</t>
        </is>
      </c>
    </row>
    <row r="622">
      <c r="A622" t="inlineStr">
        <is>
          <t>No</t>
        </is>
      </c>
      <c r="B622" t="inlineStr">
        <is>
          <t>CUHSL</t>
        </is>
      </c>
      <c r="C622" t="inlineStr">
        <is>
          <t>SHELVES</t>
        </is>
      </c>
      <c r="D622" t="inlineStr">
        <is>
          <t>W62 H195f 2001</t>
        </is>
      </c>
      <c r="E622" t="inlineStr">
        <is>
          <t>0                      W  0062000H  195f        2001</t>
        </is>
      </c>
      <c r="F622" t="inlineStr">
        <is>
          <t>From detached concern to empathy : humanizing medical practice / Jodi Halpern.</t>
        </is>
      </c>
      <c r="H622" t="inlineStr">
        <is>
          <t>No</t>
        </is>
      </c>
      <c r="I622" t="inlineStr">
        <is>
          <t>1</t>
        </is>
      </c>
      <c r="J622" t="inlineStr">
        <is>
          <t>No</t>
        </is>
      </c>
      <c r="K622" t="inlineStr">
        <is>
          <t>No</t>
        </is>
      </c>
      <c r="L622" t="inlineStr">
        <is>
          <t>1</t>
        </is>
      </c>
      <c r="M622" t="inlineStr">
        <is>
          <t>Halpern, Jodi.</t>
        </is>
      </c>
      <c r="N622" t="inlineStr">
        <is>
          <t>Oxford ; New York : Oxford University Press, c2001.</t>
        </is>
      </c>
      <c r="O622" t="inlineStr">
        <is>
          <t>2001</t>
        </is>
      </c>
      <c r="Q622" t="inlineStr">
        <is>
          <t>eng</t>
        </is>
      </c>
      <c r="R622" t="inlineStr">
        <is>
          <t>enk</t>
        </is>
      </c>
      <c r="T622" t="inlineStr">
        <is>
          <t xml:space="preserve">W  </t>
        </is>
      </c>
      <c r="U622" t="n">
        <v>6</v>
      </c>
      <c r="V622" t="n">
        <v>6</v>
      </c>
      <c r="W622" t="inlineStr">
        <is>
          <t>2008-12-22</t>
        </is>
      </c>
      <c r="X622" t="inlineStr">
        <is>
          <t>2008-12-22</t>
        </is>
      </c>
      <c r="Y622" t="inlineStr">
        <is>
          <t>2004-10-08</t>
        </is>
      </c>
      <c r="Z622" t="inlineStr">
        <is>
          <t>2004-10-08</t>
        </is>
      </c>
      <c r="AA622" t="n">
        <v>267</v>
      </c>
      <c r="AB622" t="n">
        <v>213</v>
      </c>
      <c r="AC622" t="n">
        <v>1119</v>
      </c>
      <c r="AD622" t="n">
        <v>1</v>
      </c>
      <c r="AE622" t="n">
        <v>14</v>
      </c>
      <c r="AF622" t="n">
        <v>10</v>
      </c>
      <c r="AG622" t="n">
        <v>48</v>
      </c>
      <c r="AH622" t="n">
        <v>4</v>
      </c>
      <c r="AI622" t="n">
        <v>15</v>
      </c>
      <c r="AJ622" t="n">
        <v>3</v>
      </c>
      <c r="AK622" t="n">
        <v>11</v>
      </c>
      <c r="AL622" t="n">
        <v>4</v>
      </c>
      <c r="AM622" t="n">
        <v>15</v>
      </c>
      <c r="AN622" t="n">
        <v>0</v>
      </c>
      <c r="AO622" t="n">
        <v>12</v>
      </c>
      <c r="AP622" t="n">
        <v>1</v>
      </c>
      <c r="AQ622" t="n">
        <v>3</v>
      </c>
      <c r="AR622" t="inlineStr">
        <is>
          <t>No</t>
        </is>
      </c>
      <c r="AS622" t="inlineStr">
        <is>
          <t>Yes</t>
        </is>
      </c>
      <c r="AT622">
        <f>HYPERLINK("http://catalog.hathitrust.org/Record/004196764","HathiTrust Record")</f>
        <v/>
      </c>
      <c r="AU622">
        <f>HYPERLINK("https://creighton-primo.hosted.exlibrisgroup.com/primo-explore/search?tab=default_tab&amp;search_scope=EVERYTHING&amp;vid=01CRU&amp;lang=en_US&amp;offset=0&amp;query=any,contains,991000400289702656","Catalog Record")</f>
        <v/>
      </c>
      <c r="AV622">
        <f>HYPERLINK("http://www.worldcat.org/oclc/44545309","WorldCat Record")</f>
        <v/>
      </c>
      <c r="AW622" t="inlineStr">
        <is>
          <t>797257279:eng</t>
        </is>
      </c>
      <c r="AX622" t="inlineStr">
        <is>
          <t>44545309</t>
        </is>
      </c>
      <c r="AY622" t="inlineStr">
        <is>
          <t>991000400289702656</t>
        </is>
      </c>
      <c r="AZ622" t="inlineStr">
        <is>
          <t>991000400289702656</t>
        </is>
      </c>
      <c r="BA622" t="inlineStr">
        <is>
          <t>2258555630002656</t>
        </is>
      </c>
      <c r="BB622" t="inlineStr">
        <is>
          <t>BOOK</t>
        </is>
      </c>
      <c r="BD622" t="inlineStr">
        <is>
          <t>9780195111194</t>
        </is>
      </c>
      <c r="BE622" t="inlineStr">
        <is>
          <t>30001004923951</t>
        </is>
      </c>
      <c r="BF622" t="inlineStr">
        <is>
          <t>893817073</t>
        </is>
      </c>
    </row>
    <row r="623">
      <c r="A623" t="inlineStr">
        <is>
          <t>No</t>
        </is>
      </c>
      <c r="B623" t="inlineStr">
        <is>
          <t>CUHSL</t>
        </is>
      </c>
      <c r="C623" t="inlineStr">
        <is>
          <t>SHELVES</t>
        </is>
      </c>
      <c r="D623" t="inlineStr">
        <is>
          <t>W 62 H776m 1998</t>
        </is>
      </c>
      <c r="E623" t="inlineStr">
        <is>
          <t>0                      W  0062000H  776m        1998</t>
        </is>
      </c>
      <c r="F623" t="inlineStr">
        <is>
          <t>Managing the difficult patient / Robert E. Hooberman, Barbara M. Hooberman.</t>
        </is>
      </c>
      <c r="H623" t="inlineStr">
        <is>
          <t>No</t>
        </is>
      </c>
      <c r="I623" t="inlineStr">
        <is>
          <t>1</t>
        </is>
      </c>
      <c r="J623" t="inlineStr">
        <is>
          <t>No</t>
        </is>
      </c>
      <c r="K623" t="inlineStr">
        <is>
          <t>No</t>
        </is>
      </c>
      <c r="L623" t="inlineStr">
        <is>
          <t>0</t>
        </is>
      </c>
      <c r="M623" t="inlineStr">
        <is>
          <t>Hooberman, Robert E.</t>
        </is>
      </c>
      <c r="N623" t="inlineStr">
        <is>
          <t>Madison, Conn. : Psychosocial Press, c1998.</t>
        </is>
      </c>
      <c r="O623" t="inlineStr">
        <is>
          <t>1998</t>
        </is>
      </c>
      <c r="Q623" t="inlineStr">
        <is>
          <t>eng</t>
        </is>
      </c>
      <c r="R623" t="inlineStr">
        <is>
          <t>ctu</t>
        </is>
      </c>
      <c r="T623" t="inlineStr">
        <is>
          <t xml:space="preserve">W  </t>
        </is>
      </c>
      <c r="U623" t="n">
        <v>5</v>
      </c>
      <c r="V623" t="n">
        <v>5</v>
      </c>
      <c r="W623" t="inlineStr">
        <is>
          <t>1999-01-26</t>
        </is>
      </c>
      <c r="X623" t="inlineStr">
        <is>
          <t>1999-01-26</t>
        </is>
      </c>
      <c r="Y623" t="inlineStr">
        <is>
          <t>1998-12-18</t>
        </is>
      </c>
      <c r="Z623" t="inlineStr">
        <is>
          <t>1998-12-18</t>
        </is>
      </c>
      <c r="AA623" t="n">
        <v>104</v>
      </c>
      <c r="AB623" t="n">
        <v>84</v>
      </c>
      <c r="AC623" t="n">
        <v>87</v>
      </c>
      <c r="AD623" t="n">
        <v>2</v>
      </c>
      <c r="AE623" t="n">
        <v>2</v>
      </c>
      <c r="AF623" t="n">
        <v>5</v>
      </c>
      <c r="AG623" t="n">
        <v>5</v>
      </c>
      <c r="AH623" t="n">
        <v>0</v>
      </c>
      <c r="AI623" t="n">
        <v>0</v>
      </c>
      <c r="AJ623" t="n">
        <v>1</v>
      </c>
      <c r="AK623" t="n">
        <v>1</v>
      </c>
      <c r="AL623" t="n">
        <v>3</v>
      </c>
      <c r="AM623" t="n">
        <v>3</v>
      </c>
      <c r="AN623" t="n">
        <v>1</v>
      </c>
      <c r="AO623" t="n">
        <v>1</v>
      </c>
      <c r="AP623" t="n">
        <v>0</v>
      </c>
      <c r="AQ623" t="n">
        <v>0</v>
      </c>
      <c r="AR623" t="inlineStr">
        <is>
          <t>No</t>
        </is>
      </c>
      <c r="AS623" t="inlineStr">
        <is>
          <t>Yes</t>
        </is>
      </c>
      <c r="AT623">
        <f>HYPERLINK("http://catalog.hathitrust.org/Record/003983900","HathiTrust Record")</f>
        <v/>
      </c>
      <c r="AU623">
        <f>HYPERLINK("https://creighton-primo.hosted.exlibrisgroup.com/primo-explore/search?tab=default_tab&amp;search_scope=EVERYTHING&amp;vid=01CRU&amp;lang=en_US&amp;offset=0&amp;query=any,contains,991000692329702656","Catalog Record")</f>
        <v/>
      </c>
      <c r="AV623">
        <f>HYPERLINK("http://www.worldcat.org/oclc/37001359","WorldCat Record")</f>
        <v/>
      </c>
      <c r="AW623" t="inlineStr">
        <is>
          <t>624020:eng</t>
        </is>
      </c>
      <c r="AX623" t="inlineStr">
        <is>
          <t>37001359</t>
        </is>
      </c>
      <c r="AY623" t="inlineStr">
        <is>
          <t>991000692329702656</t>
        </is>
      </c>
      <c r="AZ623" t="inlineStr">
        <is>
          <t>991000692329702656</t>
        </is>
      </c>
      <c r="BA623" t="inlineStr">
        <is>
          <t>2265078330002656</t>
        </is>
      </c>
      <c r="BB623" t="inlineStr">
        <is>
          <t>BOOK</t>
        </is>
      </c>
      <c r="BD623" t="inlineStr">
        <is>
          <t>9781887841085</t>
        </is>
      </c>
      <c r="BE623" t="inlineStr">
        <is>
          <t>30001004036879</t>
        </is>
      </c>
      <c r="BF623" t="inlineStr">
        <is>
          <t>893556862</t>
        </is>
      </c>
    </row>
    <row r="624">
      <c r="A624" t="inlineStr">
        <is>
          <t>No</t>
        </is>
      </c>
      <c r="B624" t="inlineStr">
        <is>
          <t>CUHSL</t>
        </is>
      </c>
      <c r="C624" t="inlineStr">
        <is>
          <t>SHELVES</t>
        </is>
      </c>
      <c r="D624" t="inlineStr">
        <is>
          <t>W 62 J25u 2007</t>
        </is>
      </c>
      <c r="E624" t="inlineStr">
        <is>
          <t>0                      W  0062000J  25u         2007</t>
        </is>
      </c>
      <c r="F624" t="inlineStr">
        <is>
          <t>Understanding physician-pharmaceutical industry interactions / Shaili Jain.</t>
        </is>
      </c>
      <c r="H624" t="inlineStr">
        <is>
          <t>No</t>
        </is>
      </c>
      <c r="I624" t="inlineStr">
        <is>
          <t>1</t>
        </is>
      </c>
      <c r="J624" t="inlineStr">
        <is>
          <t>No</t>
        </is>
      </c>
      <c r="K624" t="inlineStr">
        <is>
          <t>No</t>
        </is>
      </c>
      <c r="L624" t="inlineStr">
        <is>
          <t>0</t>
        </is>
      </c>
      <c r="M624" t="inlineStr">
        <is>
          <t>Jain, Shaili, 1974-</t>
        </is>
      </c>
      <c r="N624" t="inlineStr">
        <is>
          <t>Cambridge [England] ; New York : Cambridge University Press, 2007.</t>
        </is>
      </c>
      <c r="O624" t="inlineStr">
        <is>
          <t>2007</t>
        </is>
      </c>
      <c r="Q624" t="inlineStr">
        <is>
          <t>eng</t>
        </is>
      </c>
      <c r="R624" t="inlineStr">
        <is>
          <t>enk</t>
        </is>
      </c>
      <c r="T624" t="inlineStr">
        <is>
          <t xml:space="preserve">W  </t>
        </is>
      </c>
      <c r="U624" t="n">
        <v>0</v>
      </c>
      <c r="V624" t="n">
        <v>0</v>
      </c>
      <c r="W624" t="inlineStr">
        <is>
          <t>2007-11-16</t>
        </is>
      </c>
      <c r="X624" t="inlineStr">
        <is>
          <t>2007-11-16</t>
        </is>
      </c>
      <c r="Y624" t="inlineStr">
        <is>
          <t>2007-11-15</t>
        </is>
      </c>
      <c r="Z624" t="inlineStr">
        <is>
          <t>2007-11-15</t>
        </is>
      </c>
      <c r="AA624" t="n">
        <v>153</v>
      </c>
      <c r="AB624" t="n">
        <v>105</v>
      </c>
      <c r="AC624" t="n">
        <v>125</v>
      </c>
      <c r="AD624" t="n">
        <v>1</v>
      </c>
      <c r="AE624" t="n">
        <v>1</v>
      </c>
      <c r="AF624" t="n">
        <v>5</v>
      </c>
      <c r="AG624" t="n">
        <v>5</v>
      </c>
      <c r="AH624" t="n">
        <v>1</v>
      </c>
      <c r="AI624" t="n">
        <v>1</v>
      </c>
      <c r="AJ624" t="n">
        <v>2</v>
      </c>
      <c r="AK624" t="n">
        <v>2</v>
      </c>
      <c r="AL624" t="n">
        <v>3</v>
      </c>
      <c r="AM624" t="n">
        <v>3</v>
      </c>
      <c r="AN624" t="n">
        <v>0</v>
      </c>
      <c r="AO624" t="n">
        <v>0</v>
      </c>
      <c r="AP624" t="n">
        <v>1</v>
      </c>
      <c r="AQ624" t="n">
        <v>1</v>
      </c>
      <c r="AR624" t="inlineStr">
        <is>
          <t>No</t>
        </is>
      </c>
      <c r="AS624" t="inlineStr">
        <is>
          <t>No</t>
        </is>
      </c>
      <c r="AU624">
        <f>HYPERLINK("https://creighton-primo.hosted.exlibrisgroup.com/primo-explore/search?tab=default_tab&amp;search_scope=EVERYTHING&amp;vid=01CRU&amp;lang=en_US&amp;offset=0&amp;query=any,contains,991000661579702656","Catalog Record")</f>
        <v/>
      </c>
      <c r="AV624">
        <f>HYPERLINK("http://www.worldcat.org/oclc/76064682","WorldCat Record")</f>
        <v/>
      </c>
      <c r="AW624" t="inlineStr">
        <is>
          <t>61979692:eng</t>
        </is>
      </c>
      <c r="AX624" t="inlineStr">
        <is>
          <t>76064682</t>
        </is>
      </c>
      <c r="AY624" t="inlineStr">
        <is>
          <t>991000661579702656</t>
        </is>
      </c>
      <c r="AZ624" t="inlineStr">
        <is>
          <t>991000661579702656</t>
        </is>
      </c>
      <c r="BA624" t="inlineStr">
        <is>
          <t>2271858490002656</t>
        </is>
      </c>
      <c r="BB624" t="inlineStr">
        <is>
          <t>BOOK</t>
        </is>
      </c>
      <c r="BD624" t="inlineStr">
        <is>
          <t>9780521688666</t>
        </is>
      </c>
      <c r="BE624" t="inlineStr">
        <is>
          <t>30001005272671</t>
        </is>
      </c>
      <c r="BF624" t="inlineStr">
        <is>
          <t>893286817</t>
        </is>
      </c>
    </row>
    <row r="625">
      <c r="A625" t="inlineStr">
        <is>
          <t>No</t>
        </is>
      </c>
      <c r="B625" t="inlineStr">
        <is>
          <t>CUHSL</t>
        </is>
      </c>
      <c r="C625" t="inlineStr">
        <is>
          <t>SHELVES</t>
        </is>
      </c>
      <c r="D625" t="inlineStr">
        <is>
          <t>W 62 J82d 1985</t>
        </is>
      </c>
      <c r="E625" t="inlineStr">
        <is>
          <t>0                      W  0062000J  82d         1985</t>
        </is>
      </c>
      <c r="F625" t="inlineStr">
        <is>
          <t>Decision making for incompetent persons : the law and morality of who shall decide / by Shannon M. Jordan.</t>
        </is>
      </c>
      <c r="H625" t="inlineStr">
        <is>
          <t>No</t>
        </is>
      </c>
      <c r="I625" t="inlineStr">
        <is>
          <t>1</t>
        </is>
      </c>
      <c r="J625" t="inlineStr">
        <is>
          <t>No</t>
        </is>
      </c>
      <c r="K625" t="inlineStr">
        <is>
          <t>No</t>
        </is>
      </c>
      <c r="L625" t="inlineStr">
        <is>
          <t>0</t>
        </is>
      </c>
      <c r="M625" t="inlineStr">
        <is>
          <t>Jordan, Shannon M.</t>
        </is>
      </c>
      <c r="N625" t="inlineStr">
        <is>
          <t>Springfield, Ill. : Thomas, c1985.</t>
        </is>
      </c>
      <c r="O625" t="inlineStr">
        <is>
          <t>1985</t>
        </is>
      </c>
      <c r="Q625" t="inlineStr">
        <is>
          <t>eng</t>
        </is>
      </c>
      <c r="R625" t="inlineStr">
        <is>
          <t>xxu</t>
        </is>
      </c>
      <c r="T625" t="inlineStr">
        <is>
          <t xml:space="preserve">W  </t>
        </is>
      </c>
      <c r="U625" t="n">
        <v>13</v>
      </c>
      <c r="V625" t="n">
        <v>13</v>
      </c>
      <c r="W625" t="inlineStr">
        <is>
          <t>1995-05-22</t>
        </is>
      </c>
      <c r="X625" t="inlineStr">
        <is>
          <t>1995-05-22</t>
        </is>
      </c>
      <c r="Y625" t="inlineStr">
        <is>
          <t>1988-09-27</t>
        </is>
      </c>
      <c r="Z625" t="inlineStr">
        <is>
          <t>1988-09-27</t>
        </is>
      </c>
      <c r="AA625" t="n">
        <v>303</v>
      </c>
      <c r="AB625" t="n">
        <v>273</v>
      </c>
      <c r="AC625" t="n">
        <v>281</v>
      </c>
      <c r="AD625" t="n">
        <v>2</v>
      </c>
      <c r="AE625" t="n">
        <v>2</v>
      </c>
      <c r="AF625" t="n">
        <v>24</v>
      </c>
      <c r="AG625" t="n">
        <v>25</v>
      </c>
      <c r="AH625" t="n">
        <v>4</v>
      </c>
      <c r="AI625" t="n">
        <v>5</v>
      </c>
      <c r="AJ625" t="n">
        <v>3</v>
      </c>
      <c r="AK625" t="n">
        <v>3</v>
      </c>
      <c r="AL625" t="n">
        <v>9</v>
      </c>
      <c r="AM625" t="n">
        <v>10</v>
      </c>
      <c r="AN625" t="n">
        <v>1</v>
      </c>
      <c r="AO625" t="n">
        <v>1</v>
      </c>
      <c r="AP625" t="n">
        <v>10</v>
      </c>
      <c r="AQ625" t="n">
        <v>10</v>
      </c>
      <c r="AR625" t="inlineStr">
        <is>
          <t>No</t>
        </is>
      </c>
      <c r="AS625" t="inlineStr">
        <is>
          <t>Yes</t>
        </is>
      </c>
      <c r="AT625">
        <f>HYPERLINK("http://catalog.hathitrust.org/Record/000356251","HathiTrust Record")</f>
        <v/>
      </c>
      <c r="AU625">
        <f>HYPERLINK("https://creighton-primo.hosted.exlibrisgroup.com/primo-explore/search?tab=default_tab&amp;search_scope=EVERYTHING&amp;vid=01CRU&amp;lang=en_US&amp;offset=0&amp;query=any,contains,991001424359702656","Catalog Record")</f>
        <v/>
      </c>
      <c r="AV625">
        <f>HYPERLINK("http://www.worldcat.org/oclc/12081739","WorldCat Record")</f>
        <v/>
      </c>
      <c r="AW625" t="inlineStr">
        <is>
          <t>429868436:eng</t>
        </is>
      </c>
      <c r="AX625" t="inlineStr">
        <is>
          <t>12081739</t>
        </is>
      </c>
      <c r="AY625" t="inlineStr">
        <is>
          <t>991001424359702656</t>
        </is>
      </c>
      <c r="AZ625" t="inlineStr">
        <is>
          <t>991001424359702656</t>
        </is>
      </c>
      <c r="BA625" t="inlineStr">
        <is>
          <t>2264006300002656</t>
        </is>
      </c>
      <c r="BB625" t="inlineStr">
        <is>
          <t>BOOK</t>
        </is>
      </c>
      <c r="BD625" t="inlineStr">
        <is>
          <t>9780398051501</t>
        </is>
      </c>
      <c r="BE625" t="inlineStr">
        <is>
          <t>30001001183708</t>
        </is>
      </c>
      <c r="BF625" t="inlineStr">
        <is>
          <t>893736566</t>
        </is>
      </c>
    </row>
    <row r="626">
      <c r="A626" t="inlineStr">
        <is>
          <t>No</t>
        </is>
      </c>
      <c r="B626" t="inlineStr">
        <is>
          <t>CUHSL</t>
        </is>
      </c>
      <c r="C626" t="inlineStr">
        <is>
          <t>SHELVES</t>
        </is>
      </c>
      <c r="D626" t="inlineStr">
        <is>
          <t>W 62 K19s 1984</t>
        </is>
      </c>
      <c r="E626" t="inlineStr">
        <is>
          <t>0                      W  0062000K  19s         1984</t>
        </is>
      </c>
      <c r="F626" t="inlineStr">
        <is>
          <t>The silent world of doctor and patient / Jay Katz.</t>
        </is>
      </c>
      <c r="H626" t="inlineStr">
        <is>
          <t>No</t>
        </is>
      </c>
      <c r="I626" t="inlineStr">
        <is>
          <t>1</t>
        </is>
      </c>
      <c r="J626" t="inlineStr">
        <is>
          <t>No</t>
        </is>
      </c>
      <c r="K626" t="inlineStr">
        <is>
          <t>Yes</t>
        </is>
      </c>
      <c r="L626" t="inlineStr">
        <is>
          <t>0</t>
        </is>
      </c>
      <c r="M626" t="inlineStr">
        <is>
          <t>Katz, Jay, 1922-2008.</t>
        </is>
      </c>
      <c r="N626" t="inlineStr">
        <is>
          <t>New York, N.Y. : Free Press, c1984.</t>
        </is>
      </c>
      <c r="O626" t="inlineStr">
        <is>
          <t>1984</t>
        </is>
      </c>
      <c r="Q626" t="inlineStr">
        <is>
          <t>eng</t>
        </is>
      </c>
      <c r="R626" t="inlineStr">
        <is>
          <t>xxu</t>
        </is>
      </c>
      <c r="T626" t="inlineStr">
        <is>
          <t xml:space="preserve">W  </t>
        </is>
      </c>
      <c r="U626" t="n">
        <v>15</v>
      </c>
      <c r="V626" t="n">
        <v>15</v>
      </c>
      <c r="W626" t="inlineStr">
        <is>
          <t>2000-09-18</t>
        </is>
      </c>
      <c r="X626" t="inlineStr">
        <is>
          <t>2000-09-18</t>
        </is>
      </c>
      <c r="Y626" t="inlineStr">
        <is>
          <t>1987-12-18</t>
        </is>
      </c>
      <c r="Z626" t="inlineStr">
        <is>
          <t>1987-12-18</t>
        </is>
      </c>
      <c r="AA626" t="n">
        <v>570</v>
      </c>
      <c r="AB626" t="n">
        <v>505</v>
      </c>
      <c r="AC626" t="n">
        <v>685</v>
      </c>
      <c r="AD626" t="n">
        <v>3</v>
      </c>
      <c r="AE626" t="n">
        <v>3</v>
      </c>
      <c r="AF626" t="n">
        <v>29</v>
      </c>
      <c r="AG626" t="n">
        <v>41</v>
      </c>
      <c r="AH626" t="n">
        <v>5</v>
      </c>
      <c r="AI626" t="n">
        <v>12</v>
      </c>
      <c r="AJ626" t="n">
        <v>5</v>
      </c>
      <c r="AK626" t="n">
        <v>6</v>
      </c>
      <c r="AL626" t="n">
        <v>15</v>
      </c>
      <c r="AM626" t="n">
        <v>19</v>
      </c>
      <c r="AN626" t="n">
        <v>0</v>
      </c>
      <c r="AO626" t="n">
        <v>0</v>
      </c>
      <c r="AP626" t="n">
        <v>9</v>
      </c>
      <c r="AQ626" t="n">
        <v>13</v>
      </c>
      <c r="AR626" t="inlineStr">
        <is>
          <t>No</t>
        </is>
      </c>
      <c r="AS626" t="inlineStr">
        <is>
          <t>Yes</t>
        </is>
      </c>
      <c r="AT626">
        <f>HYPERLINK("http://catalog.hathitrust.org/Record/000335768","HathiTrust Record")</f>
        <v/>
      </c>
      <c r="AU626">
        <f>HYPERLINK("https://creighton-primo.hosted.exlibrisgroup.com/primo-explore/search?tab=default_tab&amp;search_scope=EVERYTHING&amp;vid=01CRU&amp;lang=en_US&amp;offset=0&amp;query=any,contains,991001542879702656","Catalog Record")</f>
        <v/>
      </c>
      <c r="AV626">
        <f>HYPERLINK("http://www.worldcat.org/oclc/10230081","WorldCat Record")</f>
        <v/>
      </c>
      <c r="AW626" t="inlineStr">
        <is>
          <t>158995699:eng</t>
        </is>
      </c>
      <c r="AX626" t="inlineStr">
        <is>
          <t>10230081</t>
        </is>
      </c>
      <c r="AY626" t="inlineStr">
        <is>
          <t>991001542879702656</t>
        </is>
      </c>
      <c r="AZ626" t="inlineStr">
        <is>
          <t>991001542879702656</t>
        </is>
      </c>
      <c r="BA626" t="inlineStr">
        <is>
          <t>2270712670002656</t>
        </is>
      </c>
      <c r="BB626" t="inlineStr">
        <is>
          <t>BOOK</t>
        </is>
      </c>
      <c r="BE626" t="inlineStr">
        <is>
          <t>30001000636029</t>
        </is>
      </c>
      <c r="BF626" t="inlineStr">
        <is>
          <t>893826850</t>
        </is>
      </c>
    </row>
    <row r="627">
      <c r="A627" t="inlineStr">
        <is>
          <t>No</t>
        </is>
      </c>
      <c r="B627" t="inlineStr">
        <is>
          <t>CUHSL</t>
        </is>
      </c>
      <c r="C627" t="inlineStr">
        <is>
          <t>SHELVES</t>
        </is>
      </c>
      <c r="D627" t="inlineStr">
        <is>
          <t>W 62 K37p 1983</t>
        </is>
      </c>
      <c r="E627" t="inlineStr">
        <is>
          <t>0                      W  0062000K  37p         1983</t>
        </is>
      </c>
      <c r="F627" t="inlineStr">
        <is>
          <t>Psychology and medical care / G. Kent, M. Dalgleish.</t>
        </is>
      </c>
      <c r="H627" t="inlineStr">
        <is>
          <t>No</t>
        </is>
      </c>
      <c r="I627" t="inlineStr">
        <is>
          <t>1</t>
        </is>
      </c>
      <c r="J627" t="inlineStr">
        <is>
          <t>Yes</t>
        </is>
      </c>
      <c r="K627" t="inlineStr">
        <is>
          <t>No</t>
        </is>
      </c>
      <c r="L627" t="inlineStr">
        <is>
          <t>0</t>
        </is>
      </c>
      <c r="M627" t="inlineStr">
        <is>
          <t>Kent, G. (Gerald)</t>
        </is>
      </c>
      <c r="N627" t="inlineStr">
        <is>
          <t>Wokingham, Berkshire, England : Van Nostrand Reinhold, c1983.</t>
        </is>
      </c>
      <c r="O627" t="inlineStr">
        <is>
          <t>1983</t>
        </is>
      </c>
      <c r="Q627" t="inlineStr">
        <is>
          <t>eng</t>
        </is>
      </c>
      <c r="R627" t="inlineStr">
        <is>
          <t>enk</t>
        </is>
      </c>
      <c r="T627" t="inlineStr">
        <is>
          <t xml:space="preserve">W  </t>
        </is>
      </c>
      <c r="U627" t="n">
        <v>2</v>
      </c>
      <c r="V627" t="n">
        <v>2</v>
      </c>
      <c r="W627" t="inlineStr">
        <is>
          <t>2009-11-05</t>
        </is>
      </c>
      <c r="X627" t="inlineStr">
        <is>
          <t>2009-11-05</t>
        </is>
      </c>
      <c r="Y627" t="inlineStr">
        <is>
          <t>1987-12-18</t>
        </is>
      </c>
      <c r="Z627" t="inlineStr">
        <is>
          <t>1987-12-18</t>
        </is>
      </c>
      <c r="AA627" t="n">
        <v>100</v>
      </c>
      <c r="AB627" t="n">
        <v>55</v>
      </c>
      <c r="AC627" t="n">
        <v>113</v>
      </c>
      <c r="AD627" t="n">
        <v>2</v>
      </c>
      <c r="AE627" t="n">
        <v>2</v>
      </c>
      <c r="AF627" t="n">
        <v>0</v>
      </c>
      <c r="AG627" t="n">
        <v>1</v>
      </c>
      <c r="AH627" t="n">
        <v>0</v>
      </c>
      <c r="AI627" t="n">
        <v>0</v>
      </c>
      <c r="AJ627" t="n">
        <v>0</v>
      </c>
      <c r="AK627" t="n">
        <v>0</v>
      </c>
      <c r="AL627" t="n">
        <v>0</v>
      </c>
      <c r="AM627" t="n">
        <v>1</v>
      </c>
      <c r="AN627" t="n">
        <v>0</v>
      </c>
      <c r="AO627" t="n">
        <v>0</v>
      </c>
      <c r="AP627" t="n">
        <v>0</v>
      </c>
      <c r="AQ627" t="n">
        <v>0</v>
      </c>
      <c r="AR627" t="inlineStr">
        <is>
          <t>No</t>
        </is>
      </c>
      <c r="AS627" t="inlineStr">
        <is>
          <t>No</t>
        </is>
      </c>
      <c r="AU627">
        <f>HYPERLINK("https://creighton-primo.hosted.exlibrisgroup.com/primo-explore/search?tab=default_tab&amp;search_scope=EVERYTHING&amp;vid=01CRU&amp;lang=en_US&amp;offset=0&amp;query=any,contains,991001542919702656","Catalog Record")</f>
        <v/>
      </c>
      <c r="AV627">
        <f>HYPERLINK("http://www.worldcat.org/oclc/8410246","WorldCat Record")</f>
        <v/>
      </c>
      <c r="AW627" t="inlineStr">
        <is>
          <t>7526114:eng</t>
        </is>
      </c>
      <c r="AX627" t="inlineStr">
        <is>
          <t>8410246</t>
        </is>
      </c>
      <c r="AY627" t="inlineStr">
        <is>
          <t>991001542919702656</t>
        </is>
      </c>
      <c r="AZ627" t="inlineStr">
        <is>
          <t>991001542919702656</t>
        </is>
      </c>
      <c r="BA627" t="inlineStr">
        <is>
          <t>2271584130002656</t>
        </is>
      </c>
      <c r="BB627" t="inlineStr">
        <is>
          <t>BOOK</t>
        </is>
      </c>
      <c r="BD627" t="inlineStr">
        <is>
          <t>9780442305161</t>
        </is>
      </c>
      <c r="BE627" t="inlineStr">
        <is>
          <t>30001000636037</t>
        </is>
      </c>
      <c r="BF627" t="inlineStr">
        <is>
          <t>893741239</t>
        </is>
      </c>
    </row>
    <row r="628">
      <c r="A628" t="inlineStr">
        <is>
          <t>No</t>
        </is>
      </c>
      <c r="B628" t="inlineStr">
        <is>
          <t>CUHSL</t>
        </is>
      </c>
      <c r="C628" t="inlineStr">
        <is>
          <t>SHELVES</t>
        </is>
      </c>
      <c r="D628" t="inlineStr">
        <is>
          <t>W 62 K53i 1983</t>
        </is>
      </c>
      <c r="E628" t="inlineStr">
        <is>
          <t>0                      W  0062000K  53i         1983</t>
        </is>
      </c>
      <c r="F628" t="inlineStr">
        <is>
          <t>Irresistible communication : creative skills for the health professional / Mark King, Larry Novik, Charles Citrenbaum.</t>
        </is>
      </c>
      <c r="H628" t="inlineStr">
        <is>
          <t>No</t>
        </is>
      </c>
      <c r="I628" t="inlineStr">
        <is>
          <t>1</t>
        </is>
      </c>
      <c r="J628" t="inlineStr">
        <is>
          <t>No</t>
        </is>
      </c>
      <c r="K628" t="inlineStr">
        <is>
          <t>No</t>
        </is>
      </c>
      <c r="L628" t="inlineStr">
        <is>
          <t>0</t>
        </is>
      </c>
      <c r="M628" t="inlineStr">
        <is>
          <t>King, Mark.</t>
        </is>
      </c>
      <c r="N628" t="inlineStr">
        <is>
          <t>Philadelphia : Saunders, c1983.</t>
        </is>
      </c>
      <c r="O628" t="inlineStr">
        <is>
          <t>1983</t>
        </is>
      </c>
      <c r="Q628" t="inlineStr">
        <is>
          <t>eng</t>
        </is>
      </c>
      <c r="R628" t="inlineStr">
        <is>
          <t>xxu</t>
        </is>
      </c>
      <c r="T628" t="inlineStr">
        <is>
          <t xml:space="preserve">W  </t>
        </is>
      </c>
      <c r="U628" t="n">
        <v>8</v>
      </c>
      <c r="V628" t="n">
        <v>8</v>
      </c>
      <c r="W628" t="inlineStr">
        <is>
          <t>1999-12-05</t>
        </is>
      </c>
      <c r="X628" t="inlineStr">
        <is>
          <t>1999-12-05</t>
        </is>
      </c>
      <c r="Y628" t="inlineStr">
        <is>
          <t>1987-12-18</t>
        </is>
      </c>
      <c r="Z628" t="inlineStr">
        <is>
          <t>1987-12-18</t>
        </is>
      </c>
      <c r="AA628" t="n">
        <v>30</v>
      </c>
      <c r="AB628" t="n">
        <v>30</v>
      </c>
      <c r="AC628" t="n">
        <v>231</v>
      </c>
      <c r="AD628" t="n">
        <v>1</v>
      </c>
      <c r="AE628" t="n">
        <v>1</v>
      </c>
      <c r="AF628" t="n">
        <v>0</v>
      </c>
      <c r="AG628" t="n">
        <v>8</v>
      </c>
      <c r="AH628" t="n">
        <v>0</v>
      </c>
      <c r="AI628" t="n">
        <v>3</v>
      </c>
      <c r="AJ628" t="n">
        <v>0</v>
      </c>
      <c r="AK628" t="n">
        <v>1</v>
      </c>
      <c r="AL628" t="n">
        <v>0</v>
      </c>
      <c r="AM628" t="n">
        <v>7</v>
      </c>
      <c r="AN628" t="n">
        <v>0</v>
      </c>
      <c r="AO628" t="n">
        <v>0</v>
      </c>
      <c r="AP628" t="n">
        <v>0</v>
      </c>
      <c r="AQ628" t="n">
        <v>0</v>
      </c>
      <c r="AR628" t="inlineStr">
        <is>
          <t>No</t>
        </is>
      </c>
      <c r="AS628" t="inlineStr">
        <is>
          <t>No</t>
        </is>
      </c>
      <c r="AU628">
        <f>HYPERLINK("https://creighton-primo.hosted.exlibrisgroup.com/primo-explore/search?tab=default_tab&amp;search_scope=EVERYTHING&amp;vid=01CRU&amp;lang=en_US&amp;offset=0&amp;query=any,contains,991001542989702656","Catalog Record")</f>
        <v/>
      </c>
      <c r="AV628">
        <f>HYPERLINK("http://www.worldcat.org/oclc/8765350","WorldCat Record")</f>
        <v/>
      </c>
      <c r="AW628" t="inlineStr">
        <is>
          <t>448153:eng</t>
        </is>
      </c>
      <c r="AX628" t="inlineStr">
        <is>
          <t>8765350</t>
        </is>
      </c>
      <c r="AY628" t="inlineStr">
        <is>
          <t>991001542989702656</t>
        </is>
      </c>
      <c r="AZ628" t="inlineStr">
        <is>
          <t>991001542989702656</t>
        </is>
      </c>
      <c r="BA628" t="inlineStr">
        <is>
          <t>2267782150002656</t>
        </is>
      </c>
      <c r="BB628" t="inlineStr">
        <is>
          <t>BOOK</t>
        </is>
      </c>
      <c r="BD628" t="inlineStr">
        <is>
          <t>9780721654294</t>
        </is>
      </c>
      <c r="BE628" t="inlineStr">
        <is>
          <t>30001000636052</t>
        </is>
      </c>
      <c r="BF628" t="inlineStr">
        <is>
          <t>893643682</t>
        </is>
      </c>
    </row>
    <row r="629">
      <c r="A629" t="inlineStr">
        <is>
          <t>No</t>
        </is>
      </c>
      <c r="B629" t="inlineStr">
        <is>
          <t>CUHSL</t>
        </is>
      </c>
      <c r="C629" t="inlineStr">
        <is>
          <t>SHELVES</t>
        </is>
      </c>
      <c r="D629" t="inlineStr">
        <is>
          <t>W 62 L929c 1990</t>
        </is>
      </c>
      <c r="E629" t="inlineStr">
        <is>
          <t>0                      W  0062000L  929c        1990</t>
        </is>
      </c>
      <c r="F629" t="inlineStr">
        <is>
          <t>Chronic illness : impact and interventions / Ilene Morof Lubkin.</t>
        </is>
      </c>
      <c r="H629" t="inlineStr">
        <is>
          <t>No</t>
        </is>
      </c>
      <c r="I629" t="inlineStr">
        <is>
          <t>1</t>
        </is>
      </c>
      <c r="J629" t="inlineStr">
        <is>
          <t>No</t>
        </is>
      </c>
      <c r="K629" t="inlineStr">
        <is>
          <t>Yes</t>
        </is>
      </c>
      <c r="L629" t="inlineStr">
        <is>
          <t>0</t>
        </is>
      </c>
      <c r="M629" t="inlineStr">
        <is>
          <t>Lubkin, Ilene Morof, 1928-2005.</t>
        </is>
      </c>
      <c r="N629" t="inlineStr">
        <is>
          <t>Boston : Jones and Bartlett, c1990.</t>
        </is>
      </c>
      <c r="O629" t="inlineStr">
        <is>
          <t>1990</t>
        </is>
      </c>
      <c r="P629" t="inlineStr">
        <is>
          <t>2nd ed.</t>
        </is>
      </c>
      <c r="Q629" t="inlineStr">
        <is>
          <t>eng</t>
        </is>
      </c>
      <c r="R629" t="inlineStr">
        <is>
          <t>xxu</t>
        </is>
      </c>
      <c r="T629" t="inlineStr">
        <is>
          <t xml:space="preserve">W  </t>
        </is>
      </c>
      <c r="U629" t="n">
        <v>5</v>
      </c>
      <c r="V629" t="n">
        <v>5</v>
      </c>
      <c r="W629" t="inlineStr">
        <is>
          <t>1992-07-30</t>
        </is>
      </c>
      <c r="X629" t="inlineStr">
        <is>
          <t>1992-07-30</t>
        </is>
      </c>
      <c r="Y629" t="inlineStr">
        <is>
          <t>1990-04-24</t>
        </is>
      </c>
      <c r="Z629" t="inlineStr">
        <is>
          <t>1990-04-24</t>
        </is>
      </c>
      <c r="AA629" t="n">
        <v>216</v>
      </c>
      <c r="AB629" t="n">
        <v>172</v>
      </c>
      <c r="AC629" t="n">
        <v>1687</v>
      </c>
      <c r="AD629" t="n">
        <v>2</v>
      </c>
      <c r="AE629" t="n">
        <v>12</v>
      </c>
      <c r="AF629" t="n">
        <v>12</v>
      </c>
      <c r="AG629" t="n">
        <v>45</v>
      </c>
      <c r="AH629" t="n">
        <v>5</v>
      </c>
      <c r="AI629" t="n">
        <v>17</v>
      </c>
      <c r="AJ629" t="n">
        <v>2</v>
      </c>
      <c r="AK629" t="n">
        <v>8</v>
      </c>
      <c r="AL629" t="n">
        <v>7</v>
      </c>
      <c r="AM629" t="n">
        <v>19</v>
      </c>
      <c r="AN629" t="n">
        <v>1</v>
      </c>
      <c r="AO629" t="n">
        <v>9</v>
      </c>
      <c r="AP629" t="n">
        <v>0</v>
      </c>
      <c r="AQ629" t="n">
        <v>0</v>
      </c>
      <c r="AR629" t="inlineStr">
        <is>
          <t>No</t>
        </is>
      </c>
      <c r="AS629" t="inlineStr">
        <is>
          <t>Yes</t>
        </is>
      </c>
      <c r="AT629">
        <f>HYPERLINK("http://catalog.hathitrust.org/Record/002057635","HathiTrust Record")</f>
        <v/>
      </c>
      <c r="AU629">
        <f>HYPERLINK("https://creighton-primo.hosted.exlibrisgroup.com/primo-explore/search?tab=default_tab&amp;search_scope=EVERYTHING&amp;vid=01CRU&amp;lang=en_US&amp;offset=0&amp;query=any,contains,991001355589702656","Catalog Record")</f>
        <v/>
      </c>
      <c r="AV629">
        <f>HYPERLINK("http://www.worldcat.org/oclc/21118080","WorldCat Record")</f>
        <v/>
      </c>
      <c r="AW629" t="inlineStr">
        <is>
          <t>1077109761:eng</t>
        </is>
      </c>
      <c r="AX629" t="inlineStr">
        <is>
          <t>21118080</t>
        </is>
      </c>
      <c r="AY629" t="inlineStr">
        <is>
          <t>991001355589702656</t>
        </is>
      </c>
      <c r="AZ629" t="inlineStr">
        <is>
          <t>991001355589702656</t>
        </is>
      </c>
      <c r="BA629" t="inlineStr">
        <is>
          <t>2271018980002656</t>
        </is>
      </c>
      <c r="BB629" t="inlineStr">
        <is>
          <t>BOOK</t>
        </is>
      </c>
      <c r="BD629" t="inlineStr">
        <is>
          <t>9780867204308</t>
        </is>
      </c>
      <c r="BE629" t="inlineStr">
        <is>
          <t>30001001795931</t>
        </is>
      </c>
      <c r="BF629" t="inlineStr">
        <is>
          <t>893460494</t>
        </is>
      </c>
    </row>
    <row r="630">
      <c r="A630" t="inlineStr">
        <is>
          <t>No</t>
        </is>
      </c>
      <c r="B630" t="inlineStr">
        <is>
          <t>CUHSL</t>
        </is>
      </c>
      <c r="C630" t="inlineStr">
        <is>
          <t>SHELVES</t>
        </is>
      </c>
      <c r="D630" t="inlineStr">
        <is>
          <t>W62 M628d 2006</t>
        </is>
      </c>
      <c r="E630" t="inlineStr">
        <is>
          <t>0                      W  0062000M  628d        2006</t>
        </is>
      </c>
      <c r="F630" t="inlineStr">
        <is>
          <t>Doctors and paintings : insights and replenishment for health professionals / John Middleton, Erica Middleton ; forewords by Liam Donaldson and Peter Wheeler.</t>
        </is>
      </c>
      <c r="H630" t="inlineStr">
        <is>
          <t>No</t>
        </is>
      </c>
      <c r="I630" t="inlineStr">
        <is>
          <t>1</t>
        </is>
      </c>
      <c r="J630" t="inlineStr">
        <is>
          <t>No</t>
        </is>
      </c>
      <c r="K630" t="inlineStr">
        <is>
          <t>No</t>
        </is>
      </c>
      <c r="L630" t="inlineStr">
        <is>
          <t>0</t>
        </is>
      </c>
      <c r="M630" t="inlineStr">
        <is>
          <t>Middleton, John, 1949-</t>
        </is>
      </c>
      <c r="N630" t="inlineStr">
        <is>
          <t>Oxford ; Seattle : Radcliffe Pub., c2006.</t>
        </is>
      </c>
      <c r="O630" t="inlineStr">
        <is>
          <t>2006</t>
        </is>
      </c>
      <c r="Q630" t="inlineStr">
        <is>
          <t>eng</t>
        </is>
      </c>
      <c r="R630" t="inlineStr">
        <is>
          <t>enk</t>
        </is>
      </c>
      <c r="T630" t="inlineStr">
        <is>
          <t xml:space="preserve">W  </t>
        </is>
      </c>
      <c r="U630" t="n">
        <v>1</v>
      </c>
      <c r="V630" t="n">
        <v>1</v>
      </c>
      <c r="W630" t="inlineStr">
        <is>
          <t>2008-01-17</t>
        </is>
      </c>
      <c r="X630" t="inlineStr">
        <is>
          <t>2008-01-17</t>
        </is>
      </c>
      <c r="Y630" t="inlineStr">
        <is>
          <t>2007-12-12</t>
        </is>
      </c>
      <c r="Z630" t="inlineStr">
        <is>
          <t>2007-12-12</t>
        </is>
      </c>
      <c r="AA630" t="n">
        <v>59</v>
      </c>
      <c r="AB630" t="n">
        <v>38</v>
      </c>
      <c r="AC630" t="n">
        <v>39</v>
      </c>
      <c r="AD630" t="n">
        <v>1</v>
      </c>
      <c r="AE630" t="n">
        <v>1</v>
      </c>
      <c r="AF630" t="n">
        <v>1</v>
      </c>
      <c r="AG630" t="n">
        <v>1</v>
      </c>
      <c r="AH630" t="n">
        <v>0</v>
      </c>
      <c r="AI630" t="n">
        <v>0</v>
      </c>
      <c r="AJ630" t="n">
        <v>0</v>
      </c>
      <c r="AK630" t="n">
        <v>0</v>
      </c>
      <c r="AL630" t="n">
        <v>1</v>
      </c>
      <c r="AM630" t="n">
        <v>1</v>
      </c>
      <c r="AN630" t="n">
        <v>0</v>
      </c>
      <c r="AO630" t="n">
        <v>0</v>
      </c>
      <c r="AP630" t="n">
        <v>0</v>
      </c>
      <c r="AQ630" t="n">
        <v>0</v>
      </c>
      <c r="AR630" t="inlineStr">
        <is>
          <t>No</t>
        </is>
      </c>
      <c r="AS630" t="inlineStr">
        <is>
          <t>No</t>
        </is>
      </c>
      <c r="AU630">
        <f>HYPERLINK("https://creighton-primo.hosted.exlibrisgroup.com/primo-explore/search?tab=default_tab&amp;search_scope=EVERYTHING&amp;vid=01CRU&amp;lang=en_US&amp;offset=0&amp;query=any,contains,991000665889702656","Catalog Record")</f>
        <v/>
      </c>
      <c r="AV630">
        <f>HYPERLINK("http://www.worldcat.org/oclc/70672604","WorldCat Record")</f>
        <v/>
      </c>
      <c r="AW630" t="inlineStr">
        <is>
          <t>5585654611:eng</t>
        </is>
      </c>
      <c r="AX630" t="inlineStr">
        <is>
          <t>70672604</t>
        </is>
      </c>
      <c r="AY630" t="inlineStr">
        <is>
          <t>991000665889702656</t>
        </is>
      </c>
      <c r="AZ630" t="inlineStr">
        <is>
          <t>991000665889702656</t>
        </is>
      </c>
      <c r="BA630" t="inlineStr">
        <is>
          <t>2271310170002656</t>
        </is>
      </c>
      <c r="BB630" t="inlineStr">
        <is>
          <t>BOOK</t>
        </is>
      </c>
      <c r="BD630" t="inlineStr">
        <is>
          <t>9781846190520</t>
        </is>
      </c>
      <c r="BE630" t="inlineStr">
        <is>
          <t>30001005270139</t>
        </is>
      </c>
      <c r="BF630" t="inlineStr">
        <is>
          <t>893464462</t>
        </is>
      </c>
    </row>
    <row r="631">
      <c r="A631" t="inlineStr">
        <is>
          <t>No</t>
        </is>
      </c>
      <c r="B631" t="inlineStr">
        <is>
          <t>CUHSL</t>
        </is>
      </c>
      <c r="C631" t="inlineStr">
        <is>
          <t>SHELVES</t>
        </is>
      </c>
      <c r="D631" t="inlineStr">
        <is>
          <t>W 62 M7867h 1993</t>
        </is>
      </c>
      <c r="E631" t="inlineStr">
        <is>
          <t>0                      W  0062000M  7867h       1993</t>
        </is>
      </c>
      <c r="F631" t="inlineStr">
        <is>
          <t>Healing through communication : the practice of caring / Carol Leppanen Montgomery.</t>
        </is>
      </c>
      <c r="H631" t="inlineStr">
        <is>
          <t>No</t>
        </is>
      </c>
      <c r="I631" t="inlineStr">
        <is>
          <t>1</t>
        </is>
      </c>
      <c r="J631" t="inlineStr">
        <is>
          <t>No</t>
        </is>
      </c>
      <c r="K631" t="inlineStr">
        <is>
          <t>No</t>
        </is>
      </c>
      <c r="L631" t="inlineStr">
        <is>
          <t>0</t>
        </is>
      </c>
      <c r="M631" t="inlineStr">
        <is>
          <t>Montgomery, Carol Leppanen.</t>
        </is>
      </c>
      <c r="N631" t="inlineStr">
        <is>
          <t>Newbury Park, Calif. : Sage Publications, c1993.</t>
        </is>
      </c>
      <c r="O631" t="inlineStr">
        <is>
          <t>1993</t>
        </is>
      </c>
      <c r="Q631" t="inlineStr">
        <is>
          <t>eng</t>
        </is>
      </c>
      <c r="R631" t="inlineStr">
        <is>
          <t>cau</t>
        </is>
      </c>
      <c r="T631" t="inlineStr">
        <is>
          <t xml:space="preserve">W  </t>
        </is>
      </c>
      <c r="U631" t="n">
        <v>1</v>
      </c>
      <c r="V631" t="n">
        <v>1</v>
      </c>
      <c r="W631" t="inlineStr">
        <is>
          <t>2006-10-12</t>
        </is>
      </c>
      <c r="X631" t="inlineStr">
        <is>
          <t>2006-10-12</t>
        </is>
      </c>
      <c r="Y631" t="inlineStr">
        <is>
          <t>2004-08-26</t>
        </is>
      </c>
      <c r="Z631" t="inlineStr">
        <is>
          <t>2004-08-26</t>
        </is>
      </c>
      <c r="AA631" t="n">
        <v>375</v>
      </c>
      <c r="AB631" t="n">
        <v>271</v>
      </c>
      <c r="AC631" t="n">
        <v>343</v>
      </c>
      <c r="AD631" t="n">
        <v>3</v>
      </c>
      <c r="AE631" t="n">
        <v>3</v>
      </c>
      <c r="AF631" t="n">
        <v>14</v>
      </c>
      <c r="AG631" t="n">
        <v>16</v>
      </c>
      <c r="AH631" t="n">
        <v>4</v>
      </c>
      <c r="AI631" t="n">
        <v>5</v>
      </c>
      <c r="AJ631" t="n">
        <v>4</v>
      </c>
      <c r="AK631" t="n">
        <v>5</v>
      </c>
      <c r="AL631" t="n">
        <v>9</v>
      </c>
      <c r="AM631" t="n">
        <v>9</v>
      </c>
      <c r="AN631" t="n">
        <v>2</v>
      </c>
      <c r="AO631" t="n">
        <v>2</v>
      </c>
      <c r="AP631" t="n">
        <v>0</v>
      </c>
      <c r="AQ631" t="n">
        <v>0</v>
      </c>
      <c r="AR631" t="inlineStr">
        <is>
          <t>No</t>
        </is>
      </c>
      <c r="AS631" t="inlineStr">
        <is>
          <t>Yes</t>
        </is>
      </c>
      <c r="AT631">
        <f>HYPERLINK("http://catalog.hathitrust.org/Record/004522059","HathiTrust Record")</f>
        <v/>
      </c>
      <c r="AU631">
        <f>HYPERLINK("https://creighton-primo.hosted.exlibrisgroup.com/primo-explore/search?tab=default_tab&amp;search_scope=EVERYTHING&amp;vid=01CRU&amp;lang=en_US&amp;offset=0&amp;query=any,contains,991000378179702656","Catalog Record")</f>
        <v/>
      </c>
      <c r="AV631">
        <f>HYPERLINK("http://www.worldcat.org/oclc/27388111","WorldCat Record")</f>
        <v/>
      </c>
      <c r="AW631" t="inlineStr">
        <is>
          <t>836917643:eng</t>
        </is>
      </c>
      <c r="AX631" t="inlineStr">
        <is>
          <t>27388111</t>
        </is>
      </c>
      <c r="AY631" t="inlineStr">
        <is>
          <t>991000378179702656</t>
        </is>
      </c>
      <c r="AZ631" t="inlineStr">
        <is>
          <t>991000378179702656</t>
        </is>
      </c>
      <c r="BA631" t="inlineStr">
        <is>
          <t>2259419280002656</t>
        </is>
      </c>
      <c r="BB631" t="inlineStr">
        <is>
          <t>BOOK</t>
        </is>
      </c>
      <c r="BD631" t="inlineStr">
        <is>
          <t>9780803951204</t>
        </is>
      </c>
      <c r="BE631" t="inlineStr">
        <is>
          <t>30001004219889</t>
        </is>
      </c>
      <c r="BF631" t="inlineStr">
        <is>
          <t>893817054</t>
        </is>
      </c>
    </row>
    <row r="632">
      <c r="A632" t="inlineStr">
        <is>
          <t>No</t>
        </is>
      </c>
      <c r="B632" t="inlineStr">
        <is>
          <t>CUHSL</t>
        </is>
      </c>
      <c r="C632" t="inlineStr">
        <is>
          <t>SHELVES</t>
        </is>
      </c>
      <c r="D632" t="inlineStr">
        <is>
          <t>W 62 M787h 1971</t>
        </is>
      </c>
      <c r="E632" t="inlineStr">
        <is>
          <t>0                      W  0062000M  787h        1971</t>
        </is>
      </c>
      <c r="F632" t="inlineStr">
        <is>
          <t>Healing and wholeness / D. Wayne Montgomery.</t>
        </is>
      </c>
      <c r="H632" t="inlineStr">
        <is>
          <t>No</t>
        </is>
      </c>
      <c r="I632" t="inlineStr">
        <is>
          <t>1</t>
        </is>
      </c>
      <c r="J632" t="inlineStr">
        <is>
          <t>No</t>
        </is>
      </c>
      <c r="K632" t="inlineStr">
        <is>
          <t>No</t>
        </is>
      </c>
      <c r="L632" t="inlineStr">
        <is>
          <t>0</t>
        </is>
      </c>
      <c r="M632" t="inlineStr">
        <is>
          <t>Montgomery, D. Wayne.</t>
        </is>
      </c>
      <c r="N632" t="inlineStr">
        <is>
          <t>Richmond : John Knox Press, c1971.</t>
        </is>
      </c>
      <c r="O632" t="inlineStr">
        <is>
          <t>1971</t>
        </is>
      </c>
      <c r="Q632" t="inlineStr">
        <is>
          <t>eng</t>
        </is>
      </c>
      <c r="R632" t="inlineStr">
        <is>
          <t>vau</t>
        </is>
      </c>
      <c r="T632" t="inlineStr">
        <is>
          <t xml:space="preserve">W  </t>
        </is>
      </c>
      <c r="U632" t="n">
        <v>6</v>
      </c>
      <c r="V632" t="n">
        <v>6</v>
      </c>
      <c r="W632" t="inlineStr">
        <is>
          <t>1997-11-03</t>
        </is>
      </c>
      <c r="X632" t="inlineStr">
        <is>
          <t>1997-11-03</t>
        </is>
      </c>
      <c r="Y632" t="inlineStr">
        <is>
          <t>1987-12-18</t>
        </is>
      </c>
      <c r="Z632" t="inlineStr">
        <is>
          <t>1987-12-18</t>
        </is>
      </c>
      <c r="AA632" t="n">
        <v>156</v>
      </c>
      <c r="AB632" t="n">
        <v>142</v>
      </c>
      <c r="AC632" t="n">
        <v>144</v>
      </c>
      <c r="AD632" t="n">
        <v>2</v>
      </c>
      <c r="AE632" t="n">
        <v>2</v>
      </c>
      <c r="AF632" t="n">
        <v>4</v>
      </c>
      <c r="AG632" t="n">
        <v>4</v>
      </c>
      <c r="AH632" t="n">
        <v>0</v>
      </c>
      <c r="AI632" t="n">
        <v>0</v>
      </c>
      <c r="AJ632" t="n">
        <v>1</v>
      </c>
      <c r="AK632" t="n">
        <v>1</v>
      </c>
      <c r="AL632" t="n">
        <v>2</v>
      </c>
      <c r="AM632" t="n">
        <v>2</v>
      </c>
      <c r="AN632" t="n">
        <v>1</v>
      </c>
      <c r="AO632" t="n">
        <v>1</v>
      </c>
      <c r="AP632" t="n">
        <v>0</v>
      </c>
      <c r="AQ632" t="n">
        <v>0</v>
      </c>
      <c r="AR632" t="inlineStr">
        <is>
          <t>No</t>
        </is>
      </c>
      <c r="AS632" t="inlineStr">
        <is>
          <t>No</t>
        </is>
      </c>
      <c r="AU632">
        <f>HYPERLINK("https://creighton-primo.hosted.exlibrisgroup.com/primo-explore/search?tab=default_tab&amp;search_scope=EVERYTHING&amp;vid=01CRU&amp;lang=en_US&amp;offset=0&amp;query=any,contains,991001543059702656","Catalog Record")</f>
        <v/>
      </c>
      <c r="AV632">
        <f>HYPERLINK("http://www.worldcat.org/oclc/163810","WorldCat Record")</f>
        <v/>
      </c>
      <c r="AW632" t="inlineStr">
        <is>
          <t>373877561:eng</t>
        </is>
      </c>
      <c r="AX632" t="inlineStr">
        <is>
          <t>163810</t>
        </is>
      </c>
      <c r="AY632" t="inlineStr">
        <is>
          <t>991001543059702656</t>
        </is>
      </c>
      <c r="AZ632" t="inlineStr">
        <is>
          <t>991001543059702656</t>
        </is>
      </c>
      <c r="BA632" t="inlineStr">
        <is>
          <t>2265345370002656</t>
        </is>
      </c>
      <c r="BB632" t="inlineStr">
        <is>
          <t>BOOK</t>
        </is>
      </c>
      <c r="BD632" t="inlineStr">
        <is>
          <t>9780804211154</t>
        </is>
      </c>
      <c r="BE632" t="inlineStr">
        <is>
          <t>30001000636060</t>
        </is>
      </c>
      <c r="BF632" t="inlineStr">
        <is>
          <t>893134702</t>
        </is>
      </c>
    </row>
    <row r="633">
      <c r="A633" t="inlineStr">
        <is>
          <t>No</t>
        </is>
      </c>
      <c r="B633" t="inlineStr">
        <is>
          <t>CUHSL</t>
        </is>
      </c>
      <c r="C633" t="inlineStr">
        <is>
          <t>SHELVES</t>
        </is>
      </c>
      <c r="D633" t="inlineStr">
        <is>
          <t>W 62 M9663t 1989</t>
        </is>
      </c>
      <c r="E633" t="inlineStr">
        <is>
          <t>0                      W  0062000M  9663t       1989</t>
        </is>
      </c>
      <c r="F633" t="inlineStr">
        <is>
          <t>Talking with patients : a basic clinical skill / Philip R. Myerscough ; with contributions by A.L. Spiers ... [et al.].</t>
        </is>
      </c>
      <c r="H633" t="inlineStr">
        <is>
          <t>No</t>
        </is>
      </c>
      <c r="I633" t="inlineStr">
        <is>
          <t>1</t>
        </is>
      </c>
      <c r="J633" t="inlineStr">
        <is>
          <t>No</t>
        </is>
      </c>
      <c r="K633" t="inlineStr">
        <is>
          <t>No</t>
        </is>
      </c>
      <c r="L633" t="inlineStr">
        <is>
          <t>0</t>
        </is>
      </c>
      <c r="M633" t="inlineStr">
        <is>
          <t>Myerscough, P. R. (Philip Roger)</t>
        </is>
      </c>
      <c r="N633" t="inlineStr">
        <is>
          <t>Oxford ; New York : Oxford University Press, c1989.</t>
        </is>
      </c>
      <c r="O633" t="inlineStr">
        <is>
          <t>1989</t>
        </is>
      </c>
      <c r="Q633" t="inlineStr">
        <is>
          <t>eng</t>
        </is>
      </c>
      <c r="R633" t="inlineStr">
        <is>
          <t>enk</t>
        </is>
      </c>
      <c r="S633" t="inlineStr">
        <is>
          <t>Oxford medical publications</t>
        </is>
      </c>
      <c r="T633" t="inlineStr">
        <is>
          <t xml:space="preserve">W  </t>
        </is>
      </c>
      <c r="U633" t="n">
        <v>13</v>
      </c>
      <c r="V633" t="n">
        <v>13</v>
      </c>
      <c r="W633" t="inlineStr">
        <is>
          <t>2003-04-17</t>
        </is>
      </c>
      <c r="X633" t="inlineStr">
        <is>
          <t>2003-04-17</t>
        </is>
      </c>
      <c r="Y633" t="inlineStr">
        <is>
          <t>1990-02-15</t>
        </is>
      </c>
      <c r="Z633" t="inlineStr">
        <is>
          <t>1990-02-15</t>
        </is>
      </c>
      <c r="AA633" t="n">
        <v>145</v>
      </c>
      <c r="AB633" t="n">
        <v>83</v>
      </c>
      <c r="AC633" t="n">
        <v>133</v>
      </c>
      <c r="AD633" t="n">
        <v>1</v>
      </c>
      <c r="AE633" t="n">
        <v>2</v>
      </c>
      <c r="AF633" t="n">
        <v>0</v>
      </c>
      <c r="AG633" t="n">
        <v>1</v>
      </c>
      <c r="AH633" t="n">
        <v>0</v>
      </c>
      <c r="AI633" t="n">
        <v>0</v>
      </c>
      <c r="AJ633" t="n">
        <v>0</v>
      </c>
      <c r="AK633" t="n">
        <v>0</v>
      </c>
      <c r="AL633" t="n">
        <v>0</v>
      </c>
      <c r="AM633" t="n">
        <v>0</v>
      </c>
      <c r="AN633" t="n">
        <v>0</v>
      </c>
      <c r="AO633" t="n">
        <v>1</v>
      </c>
      <c r="AP633" t="n">
        <v>0</v>
      </c>
      <c r="AQ633" t="n">
        <v>0</v>
      </c>
      <c r="AR633" t="inlineStr">
        <is>
          <t>No</t>
        </is>
      </c>
      <c r="AS633" t="inlineStr">
        <is>
          <t>Yes</t>
        </is>
      </c>
      <c r="AT633">
        <f>HYPERLINK("http://catalog.hathitrust.org/Record/001816139","HathiTrust Record")</f>
        <v/>
      </c>
      <c r="AU633">
        <f>HYPERLINK("https://creighton-primo.hosted.exlibrisgroup.com/primo-explore/search?tab=default_tab&amp;search_scope=EVERYTHING&amp;vid=01CRU&amp;lang=en_US&amp;offset=0&amp;query=any,contains,991001447139702656","Catalog Record")</f>
        <v/>
      </c>
      <c r="AV633">
        <f>HYPERLINK("http://www.worldcat.org/oclc/19125633","WorldCat Record")</f>
        <v/>
      </c>
      <c r="AW633" t="inlineStr">
        <is>
          <t>795511472:eng</t>
        </is>
      </c>
      <c r="AX633" t="inlineStr">
        <is>
          <t>19125633</t>
        </is>
      </c>
      <c r="AY633" t="inlineStr">
        <is>
          <t>991001447139702656</t>
        </is>
      </c>
      <c r="AZ633" t="inlineStr">
        <is>
          <t>991001447139702656</t>
        </is>
      </c>
      <c r="BA633" t="inlineStr">
        <is>
          <t>2271897280002656</t>
        </is>
      </c>
      <c r="BB633" t="inlineStr">
        <is>
          <t>BOOK</t>
        </is>
      </c>
      <c r="BD633" t="inlineStr">
        <is>
          <t>9780192617699</t>
        </is>
      </c>
      <c r="BE633" t="inlineStr">
        <is>
          <t>30001001880873</t>
        </is>
      </c>
      <c r="BF633" t="inlineStr">
        <is>
          <t>893465549</t>
        </is>
      </c>
    </row>
    <row r="634">
      <c r="A634" t="inlineStr">
        <is>
          <t>No</t>
        </is>
      </c>
      <c r="B634" t="inlineStr">
        <is>
          <t>CUHSL</t>
        </is>
      </c>
      <c r="C634" t="inlineStr">
        <is>
          <t>SHELVES</t>
        </is>
      </c>
      <c r="D634" t="inlineStr">
        <is>
          <t>W 62 N321t 1990</t>
        </is>
      </c>
      <c r="E634" t="inlineStr">
        <is>
          <t>0                      W  0062000N  321t        1990</t>
        </is>
      </c>
      <c r="F634" t="inlineStr">
        <is>
          <t>Therapeutic communication / Tova Navarra, Myron A. Lipkowitz, John G. Navarra, Jr.</t>
        </is>
      </c>
      <c r="H634" t="inlineStr">
        <is>
          <t>No</t>
        </is>
      </c>
      <c r="I634" t="inlineStr">
        <is>
          <t>1</t>
        </is>
      </c>
      <c r="J634" t="inlineStr">
        <is>
          <t>No</t>
        </is>
      </c>
      <c r="K634" t="inlineStr">
        <is>
          <t>No</t>
        </is>
      </c>
      <c r="L634" t="inlineStr">
        <is>
          <t>0</t>
        </is>
      </c>
      <c r="M634" t="inlineStr">
        <is>
          <t>Navarra, Tova.</t>
        </is>
      </c>
      <c r="N634" t="inlineStr">
        <is>
          <t>Thorofare, N.J. : SLACK, c1990.</t>
        </is>
      </c>
      <c r="O634" t="inlineStr">
        <is>
          <t>1990</t>
        </is>
      </c>
      <c r="Q634" t="inlineStr">
        <is>
          <t>eng</t>
        </is>
      </c>
      <c r="R634" t="inlineStr">
        <is>
          <t>nju</t>
        </is>
      </c>
      <c r="T634" t="inlineStr">
        <is>
          <t xml:space="preserve">W  </t>
        </is>
      </c>
      <c r="U634" t="n">
        <v>8</v>
      </c>
      <c r="V634" t="n">
        <v>8</v>
      </c>
      <c r="W634" t="inlineStr">
        <is>
          <t>2006-11-12</t>
        </is>
      </c>
      <c r="X634" t="inlineStr">
        <is>
          <t>2006-11-12</t>
        </is>
      </c>
      <c r="Y634" t="inlineStr">
        <is>
          <t>1990-11-07</t>
        </is>
      </c>
      <c r="Z634" t="inlineStr">
        <is>
          <t>1990-11-07</t>
        </is>
      </c>
      <c r="AA634" t="n">
        <v>179</v>
      </c>
      <c r="AB634" t="n">
        <v>128</v>
      </c>
      <c r="AC634" t="n">
        <v>128</v>
      </c>
      <c r="AD634" t="n">
        <v>1</v>
      </c>
      <c r="AE634" t="n">
        <v>1</v>
      </c>
      <c r="AF634" t="n">
        <v>8</v>
      </c>
      <c r="AG634" t="n">
        <v>8</v>
      </c>
      <c r="AH634" t="n">
        <v>5</v>
      </c>
      <c r="AI634" t="n">
        <v>5</v>
      </c>
      <c r="AJ634" t="n">
        <v>2</v>
      </c>
      <c r="AK634" t="n">
        <v>2</v>
      </c>
      <c r="AL634" t="n">
        <v>3</v>
      </c>
      <c r="AM634" t="n">
        <v>3</v>
      </c>
      <c r="AN634" t="n">
        <v>0</v>
      </c>
      <c r="AO634" t="n">
        <v>0</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HYPERLINK("https://creighton-primo.hosted.exlibrisgroup.com/primo-explore/search?tab=default_tab&amp;search_scope=EVERYTHING&amp;vid=01CRU&amp;lang=en_US&amp;offset=0&amp;query=any,contains,991000778229702656","Catalog Record")</f>
        <v/>
      </c>
      <c r="AV634">
        <f>HYPERLINK("http://www.worldcat.org/oclc/22646658","WorldCat Record")</f>
        <v/>
      </c>
      <c r="AW634" t="inlineStr">
        <is>
          <t>24622164:eng</t>
        </is>
      </c>
      <c r="AX634" t="inlineStr">
        <is>
          <t>22646658</t>
        </is>
      </c>
      <c r="AY634" t="inlineStr">
        <is>
          <t>991000778229702656</t>
        </is>
      </c>
      <c r="AZ634" t="inlineStr">
        <is>
          <t>991000778229702656</t>
        </is>
      </c>
      <c r="BA634" t="inlineStr">
        <is>
          <t>2267901560002656</t>
        </is>
      </c>
      <c r="BB634" t="inlineStr">
        <is>
          <t>BOOK</t>
        </is>
      </c>
      <c r="BD634" t="inlineStr">
        <is>
          <t>9781556420757</t>
        </is>
      </c>
      <c r="BE634" t="inlineStr">
        <is>
          <t>30001002063602</t>
        </is>
      </c>
      <c r="BF634" t="inlineStr">
        <is>
          <t>893357542</t>
        </is>
      </c>
    </row>
    <row r="635">
      <c r="A635" t="inlineStr">
        <is>
          <t>No</t>
        </is>
      </c>
      <c r="B635" t="inlineStr">
        <is>
          <t>CUHSL</t>
        </is>
      </c>
      <c r="C635" t="inlineStr">
        <is>
          <t>SHELVES</t>
        </is>
      </c>
      <c r="D635" t="inlineStr">
        <is>
          <t>W 62 P386f 1988</t>
        </is>
      </c>
      <c r="E635" t="inlineStr">
        <is>
          <t>0                      W  0062000P  386f        1988</t>
        </is>
      </c>
      <c r="F635" t="inlineStr">
        <is>
          <t>For the patient's good : the restoration of beneficence in health care / Edmund D. Pellegrino, David C. Thomasma.</t>
        </is>
      </c>
      <c r="H635" t="inlineStr">
        <is>
          <t>No</t>
        </is>
      </c>
      <c r="I635" t="inlineStr">
        <is>
          <t>1</t>
        </is>
      </c>
      <c r="J635" t="inlineStr">
        <is>
          <t>Yes</t>
        </is>
      </c>
      <c r="K635" t="inlineStr">
        <is>
          <t>No</t>
        </is>
      </c>
      <c r="L635" t="inlineStr">
        <is>
          <t>0</t>
        </is>
      </c>
      <c r="M635" t="inlineStr">
        <is>
          <t>Pellegrino, Edmund D., 1920-2013.</t>
        </is>
      </c>
      <c r="N635" t="inlineStr">
        <is>
          <t>New York : Oxford University Press, c1988.</t>
        </is>
      </c>
      <c r="O635" t="inlineStr">
        <is>
          <t>1988</t>
        </is>
      </c>
      <c r="Q635" t="inlineStr">
        <is>
          <t>eng</t>
        </is>
      </c>
      <c r="R635" t="inlineStr">
        <is>
          <t>xxu</t>
        </is>
      </c>
      <c r="T635" t="inlineStr">
        <is>
          <t xml:space="preserve">W  </t>
        </is>
      </c>
      <c r="U635" t="n">
        <v>25</v>
      </c>
      <c r="V635" t="n">
        <v>25</v>
      </c>
      <c r="W635" t="inlineStr">
        <is>
          <t>2009-04-14</t>
        </is>
      </c>
      <c r="X635" t="inlineStr">
        <is>
          <t>2009-04-14</t>
        </is>
      </c>
      <c r="Y635" t="inlineStr">
        <is>
          <t>1988-07-06</t>
        </is>
      </c>
      <c r="Z635" t="inlineStr">
        <is>
          <t>1988-07-06</t>
        </is>
      </c>
      <c r="AA635" t="n">
        <v>580</v>
      </c>
      <c r="AB635" t="n">
        <v>471</v>
      </c>
      <c r="AC635" t="n">
        <v>474</v>
      </c>
      <c r="AD635" t="n">
        <v>4</v>
      </c>
      <c r="AE635" t="n">
        <v>4</v>
      </c>
      <c r="AF635" t="n">
        <v>32</v>
      </c>
      <c r="AG635" t="n">
        <v>32</v>
      </c>
      <c r="AH635" t="n">
        <v>12</v>
      </c>
      <c r="AI635" t="n">
        <v>12</v>
      </c>
      <c r="AJ635" t="n">
        <v>7</v>
      </c>
      <c r="AK635" t="n">
        <v>7</v>
      </c>
      <c r="AL635" t="n">
        <v>18</v>
      </c>
      <c r="AM635" t="n">
        <v>18</v>
      </c>
      <c r="AN635" t="n">
        <v>2</v>
      </c>
      <c r="AO635" t="n">
        <v>2</v>
      </c>
      <c r="AP635" t="n">
        <v>5</v>
      </c>
      <c r="AQ635" t="n">
        <v>5</v>
      </c>
      <c r="AR635" t="inlineStr">
        <is>
          <t>No</t>
        </is>
      </c>
      <c r="AS635" t="inlineStr">
        <is>
          <t>Yes</t>
        </is>
      </c>
      <c r="AT635">
        <f>HYPERLINK("http://catalog.hathitrust.org/Record/000874489","HathiTrust Record")</f>
        <v/>
      </c>
      <c r="AU635">
        <f>HYPERLINK("https://creighton-primo.hosted.exlibrisgroup.com/primo-explore/search?tab=default_tab&amp;search_scope=EVERYTHING&amp;vid=01CRU&amp;lang=en_US&amp;offset=0&amp;query=any,contains,991001418149702656","Catalog Record")</f>
        <v/>
      </c>
      <c r="AV635">
        <f>HYPERLINK("http://www.worldcat.org/oclc/15856289","WorldCat Record")</f>
        <v/>
      </c>
      <c r="AW635" t="inlineStr">
        <is>
          <t>312098015:eng</t>
        </is>
      </c>
      <c r="AX635" t="inlineStr">
        <is>
          <t>15856289</t>
        </is>
      </c>
      <c r="AY635" t="inlineStr">
        <is>
          <t>991001418149702656</t>
        </is>
      </c>
      <c r="AZ635" t="inlineStr">
        <is>
          <t>991001418149702656</t>
        </is>
      </c>
      <c r="BA635" t="inlineStr">
        <is>
          <t>2258114790002656</t>
        </is>
      </c>
      <c r="BB635" t="inlineStr">
        <is>
          <t>BOOK</t>
        </is>
      </c>
      <c r="BD635" t="inlineStr">
        <is>
          <t>9780195043198</t>
        </is>
      </c>
      <c r="BE635" t="inlineStr">
        <is>
          <t>30001001181330</t>
        </is>
      </c>
      <c r="BF635" t="inlineStr">
        <is>
          <t>893369377</t>
        </is>
      </c>
    </row>
    <row r="636">
      <c r="A636" t="inlineStr">
        <is>
          <t>No</t>
        </is>
      </c>
      <c r="B636" t="inlineStr">
        <is>
          <t>CUHSL</t>
        </is>
      </c>
      <c r="C636" t="inlineStr">
        <is>
          <t>SHELVES</t>
        </is>
      </c>
      <c r="D636" t="inlineStr">
        <is>
          <t>W 62 P578 1981</t>
        </is>
      </c>
      <c r="E636" t="inlineStr">
        <is>
          <t>0                      W  0062000P  578         1981</t>
        </is>
      </c>
      <c r="F636" t="inlineStr">
        <is>
          <t>Physician-patient communication : readings and recommendations / edited by George Henderson.</t>
        </is>
      </c>
      <c r="H636" t="inlineStr">
        <is>
          <t>No</t>
        </is>
      </c>
      <c r="I636" t="inlineStr">
        <is>
          <t>1</t>
        </is>
      </c>
      <c r="J636" t="inlineStr">
        <is>
          <t>Yes</t>
        </is>
      </c>
      <c r="K636" t="inlineStr">
        <is>
          <t>No</t>
        </is>
      </c>
      <c r="L636" t="inlineStr">
        <is>
          <t>0</t>
        </is>
      </c>
      <c r="N636" t="inlineStr">
        <is>
          <t>Springfield, Ill. : Thomas, c1981.</t>
        </is>
      </c>
      <c r="O636" t="inlineStr">
        <is>
          <t>1981</t>
        </is>
      </c>
      <c r="Q636" t="inlineStr">
        <is>
          <t>eng</t>
        </is>
      </c>
      <c r="R636" t="inlineStr">
        <is>
          <t>xxu</t>
        </is>
      </c>
      <c r="T636" t="inlineStr">
        <is>
          <t xml:space="preserve">W  </t>
        </is>
      </c>
      <c r="U636" t="n">
        <v>11</v>
      </c>
      <c r="V636" t="n">
        <v>11</v>
      </c>
      <c r="W636" t="inlineStr">
        <is>
          <t>2003-04-17</t>
        </is>
      </c>
      <c r="X636" t="inlineStr">
        <is>
          <t>2003-04-17</t>
        </is>
      </c>
      <c r="Y636" t="inlineStr">
        <is>
          <t>1987-12-18</t>
        </is>
      </c>
      <c r="Z636" t="inlineStr">
        <is>
          <t>1987-12-18</t>
        </is>
      </c>
      <c r="AA636" t="n">
        <v>195</v>
      </c>
      <c r="AB636" t="n">
        <v>175</v>
      </c>
      <c r="AC636" t="n">
        <v>177</v>
      </c>
      <c r="AD636" t="n">
        <v>3</v>
      </c>
      <c r="AE636" t="n">
        <v>3</v>
      </c>
      <c r="AF636" t="n">
        <v>3</v>
      </c>
      <c r="AG636" t="n">
        <v>3</v>
      </c>
      <c r="AH636" t="n">
        <v>0</v>
      </c>
      <c r="AI636" t="n">
        <v>0</v>
      </c>
      <c r="AJ636" t="n">
        <v>1</v>
      </c>
      <c r="AK636" t="n">
        <v>1</v>
      </c>
      <c r="AL636" t="n">
        <v>1</v>
      </c>
      <c r="AM636" t="n">
        <v>1</v>
      </c>
      <c r="AN636" t="n">
        <v>1</v>
      </c>
      <c r="AO636" t="n">
        <v>1</v>
      </c>
      <c r="AP636" t="n">
        <v>0</v>
      </c>
      <c r="AQ636" t="n">
        <v>0</v>
      </c>
      <c r="AR636" t="inlineStr">
        <is>
          <t>No</t>
        </is>
      </c>
      <c r="AS636" t="inlineStr">
        <is>
          <t>Yes</t>
        </is>
      </c>
      <c r="AT636">
        <f>HYPERLINK("http://catalog.hathitrust.org/Record/004416345","HathiTrust Record")</f>
        <v/>
      </c>
      <c r="AU636">
        <f>HYPERLINK("https://creighton-primo.hosted.exlibrisgroup.com/primo-explore/search?tab=default_tab&amp;search_scope=EVERYTHING&amp;vid=01CRU&amp;lang=en_US&amp;offset=0&amp;query=any,contains,991001543099702656","Catalog Record")</f>
        <v/>
      </c>
      <c r="AV636">
        <f>HYPERLINK("http://www.worldcat.org/oclc/7007053","WorldCat Record")</f>
        <v/>
      </c>
      <c r="AW636" t="inlineStr">
        <is>
          <t>1020757798:eng</t>
        </is>
      </c>
      <c r="AX636" t="inlineStr">
        <is>
          <t>7007053</t>
        </is>
      </c>
      <c r="AY636" t="inlineStr">
        <is>
          <t>991001543099702656</t>
        </is>
      </c>
      <c r="AZ636" t="inlineStr">
        <is>
          <t>991001543099702656</t>
        </is>
      </c>
      <c r="BA636" t="inlineStr">
        <is>
          <t>2266426080002656</t>
        </is>
      </c>
      <c r="BB636" t="inlineStr">
        <is>
          <t>BOOK</t>
        </is>
      </c>
      <c r="BD636" t="inlineStr">
        <is>
          <t>9780398044657</t>
        </is>
      </c>
      <c r="BE636" t="inlineStr">
        <is>
          <t>30001000636078</t>
        </is>
      </c>
      <c r="BF636" t="inlineStr">
        <is>
          <t>893633180</t>
        </is>
      </c>
    </row>
    <row r="637">
      <c r="A637" t="inlineStr">
        <is>
          <t>No</t>
        </is>
      </c>
      <c r="B637" t="inlineStr">
        <is>
          <t>CUHSL</t>
        </is>
      </c>
      <c r="C637" t="inlineStr">
        <is>
          <t>SHELVES</t>
        </is>
      </c>
      <c r="D637" t="inlineStr">
        <is>
          <t>W 62 P578 1990</t>
        </is>
      </c>
      <c r="E637" t="inlineStr">
        <is>
          <t>0                      W  0062000P  578         1990</t>
        </is>
      </c>
      <c r="F637" t="inlineStr">
        <is>
          <t>The physicians' view of middle age / the American Board of Family Practice report II; conducted by DYG, Inc.</t>
        </is>
      </c>
      <c r="H637" t="inlineStr">
        <is>
          <t>No</t>
        </is>
      </c>
      <c r="I637" t="inlineStr">
        <is>
          <t>1</t>
        </is>
      </c>
      <c r="J637" t="inlineStr">
        <is>
          <t>No</t>
        </is>
      </c>
      <c r="K637" t="inlineStr">
        <is>
          <t>No</t>
        </is>
      </c>
      <c r="L637" t="inlineStr">
        <is>
          <t>0</t>
        </is>
      </c>
      <c r="N637" t="inlineStr">
        <is>
          <t>Lexington, Ky. : The Board, c1990.</t>
        </is>
      </c>
      <c r="O637" t="inlineStr">
        <is>
          <t>1990</t>
        </is>
      </c>
      <c r="Q637" t="inlineStr">
        <is>
          <t>eng</t>
        </is>
      </c>
      <c r="R637" t="inlineStr">
        <is>
          <t>kyu</t>
        </is>
      </c>
      <c r="T637" t="inlineStr">
        <is>
          <t xml:space="preserve">W  </t>
        </is>
      </c>
      <c r="U637" t="n">
        <v>1</v>
      </c>
      <c r="V637" t="n">
        <v>1</v>
      </c>
      <c r="W637" t="inlineStr">
        <is>
          <t>1991-05-23</t>
        </is>
      </c>
      <c r="X637" t="inlineStr">
        <is>
          <t>1991-05-23</t>
        </is>
      </c>
      <c r="Y637" t="inlineStr">
        <is>
          <t>1991-05-23</t>
        </is>
      </c>
      <c r="Z637" t="inlineStr">
        <is>
          <t>1991-05-23</t>
        </is>
      </c>
      <c r="AA637" t="n">
        <v>65</v>
      </c>
      <c r="AB637" t="n">
        <v>65</v>
      </c>
      <c r="AC637" t="n">
        <v>67</v>
      </c>
      <c r="AD637" t="n">
        <v>1</v>
      </c>
      <c r="AE637" t="n">
        <v>1</v>
      </c>
      <c r="AF637" t="n">
        <v>0</v>
      </c>
      <c r="AG637" t="n">
        <v>0</v>
      </c>
      <c r="AH637" t="n">
        <v>0</v>
      </c>
      <c r="AI637" t="n">
        <v>0</v>
      </c>
      <c r="AJ637" t="n">
        <v>0</v>
      </c>
      <c r="AK637" t="n">
        <v>0</v>
      </c>
      <c r="AL637" t="n">
        <v>0</v>
      </c>
      <c r="AM637" t="n">
        <v>0</v>
      </c>
      <c r="AN637" t="n">
        <v>0</v>
      </c>
      <c r="AO637" t="n">
        <v>0</v>
      </c>
      <c r="AP637" t="n">
        <v>0</v>
      </c>
      <c r="AQ637" t="n">
        <v>0</v>
      </c>
      <c r="AR637" t="inlineStr">
        <is>
          <t>No</t>
        </is>
      </c>
      <c r="AS637" t="inlineStr">
        <is>
          <t>Yes</t>
        </is>
      </c>
      <c r="AT637">
        <f>HYPERLINK("http://catalog.hathitrust.org/Record/002483633","HathiTrust Record")</f>
        <v/>
      </c>
      <c r="AU637">
        <f>HYPERLINK("https://creighton-primo.hosted.exlibrisgroup.com/primo-explore/search?tab=default_tab&amp;search_scope=EVERYTHING&amp;vid=01CRU&amp;lang=en_US&amp;offset=0&amp;query=any,contains,991000937309702656","Catalog Record")</f>
        <v/>
      </c>
      <c r="AV637">
        <f>HYPERLINK("http://www.worldcat.org/oclc/23136573","WorldCat Record")</f>
        <v/>
      </c>
      <c r="AW637" t="inlineStr">
        <is>
          <t>24569146:eng</t>
        </is>
      </c>
      <c r="AX637" t="inlineStr">
        <is>
          <t>23136573</t>
        </is>
      </c>
      <c r="AY637" t="inlineStr">
        <is>
          <t>991000937309702656</t>
        </is>
      </c>
      <c r="AZ637" t="inlineStr">
        <is>
          <t>991000937309702656</t>
        </is>
      </c>
      <c r="BA637" t="inlineStr">
        <is>
          <t>2260464270002656</t>
        </is>
      </c>
      <c r="BB637" t="inlineStr">
        <is>
          <t>BOOK</t>
        </is>
      </c>
      <c r="BE637" t="inlineStr">
        <is>
          <t>30001002191411</t>
        </is>
      </c>
      <c r="BF637" t="inlineStr">
        <is>
          <t>893648714</t>
        </is>
      </c>
    </row>
    <row r="638">
      <c r="A638" t="inlineStr">
        <is>
          <t>No</t>
        </is>
      </c>
      <c r="B638" t="inlineStr">
        <is>
          <t>CUHSL</t>
        </is>
      </c>
      <c r="C638" t="inlineStr">
        <is>
          <t>SHELVES</t>
        </is>
      </c>
      <c r="D638" t="inlineStr">
        <is>
          <t>W 62 P7189f 1999</t>
        </is>
      </c>
      <c r="E638" t="inlineStr">
        <is>
          <t>0                      W  0062000P  7189f       1999</t>
        </is>
      </c>
      <c r="F638" t="inlineStr">
        <is>
          <t>Field guide to the difficult patient interview / Frederic W. Platt, Geoffrey H. Gordon.</t>
        </is>
      </c>
      <c r="H638" t="inlineStr">
        <is>
          <t>No</t>
        </is>
      </c>
      <c r="I638" t="inlineStr">
        <is>
          <t>1</t>
        </is>
      </c>
      <c r="J638" t="inlineStr">
        <is>
          <t>No</t>
        </is>
      </c>
      <c r="K638" t="inlineStr">
        <is>
          <t>No</t>
        </is>
      </c>
      <c r="L638" t="inlineStr">
        <is>
          <t>0</t>
        </is>
      </c>
      <c r="M638" t="inlineStr">
        <is>
          <t>Platt, Frederic W.</t>
        </is>
      </c>
      <c r="N638" t="inlineStr">
        <is>
          <t>Philadelphia, PA : Lippincott Williams &amp; Wilkins, c1999.</t>
        </is>
      </c>
      <c r="O638" t="inlineStr">
        <is>
          <t>1999</t>
        </is>
      </c>
      <c r="Q638" t="inlineStr">
        <is>
          <t>eng</t>
        </is>
      </c>
      <c r="R638" t="inlineStr">
        <is>
          <t>pau</t>
        </is>
      </c>
      <c r="S638" t="inlineStr">
        <is>
          <t>Field guide</t>
        </is>
      </c>
      <c r="T638" t="inlineStr">
        <is>
          <t xml:space="preserve">W  </t>
        </is>
      </c>
      <c r="U638" t="n">
        <v>10</v>
      </c>
      <c r="V638" t="n">
        <v>10</v>
      </c>
      <c r="W638" t="inlineStr">
        <is>
          <t>2009-11-05</t>
        </is>
      </c>
      <c r="X638" t="inlineStr">
        <is>
          <t>2009-11-05</t>
        </is>
      </c>
      <c r="Y638" t="inlineStr">
        <is>
          <t>2000-04-13</t>
        </is>
      </c>
      <c r="Z638" t="inlineStr">
        <is>
          <t>2000-04-13</t>
        </is>
      </c>
      <c r="AA638" t="n">
        <v>171</v>
      </c>
      <c r="AB638" t="n">
        <v>118</v>
      </c>
      <c r="AC638" t="n">
        <v>608</v>
      </c>
      <c r="AD638" t="n">
        <v>1</v>
      </c>
      <c r="AE638" t="n">
        <v>5</v>
      </c>
      <c r="AF638" t="n">
        <v>4</v>
      </c>
      <c r="AG638" t="n">
        <v>25</v>
      </c>
      <c r="AH638" t="n">
        <v>1</v>
      </c>
      <c r="AI638" t="n">
        <v>9</v>
      </c>
      <c r="AJ638" t="n">
        <v>2</v>
      </c>
      <c r="AK638" t="n">
        <v>7</v>
      </c>
      <c r="AL638" t="n">
        <v>3</v>
      </c>
      <c r="AM638" t="n">
        <v>8</v>
      </c>
      <c r="AN638" t="n">
        <v>0</v>
      </c>
      <c r="AO638" t="n">
        <v>4</v>
      </c>
      <c r="AP638" t="n">
        <v>0</v>
      </c>
      <c r="AQ638" t="n">
        <v>1</v>
      </c>
      <c r="AR638" t="inlineStr">
        <is>
          <t>No</t>
        </is>
      </c>
      <c r="AS638" t="inlineStr">
        <is>
          <t>Yes</t>
        </is>
      </c>
      <c r="AT638">
        <f>HYPERLINK("http://catalog.hathitrust.org/Record/004038997","HathiTrust Record")</f>
        <v/>
      </c>
      <c r="AU638">
        <f>HYPERLINK("https://creighton-primo.hosted.exlibrisgroup.com/primo-explore/search?tab=default_tab&amp;search_scope=EVERYTHING&amp;vid=01CRU&amp;lang=en_US&amp;offset=0&amp;query=any,contains,991001443289702656","Catalog Record")</f>
        <v/>
      </c>
      <c r="AV638">
        <f>HYPERLINK("http://www.worldcat.org/oclc/40881504","WorldCat Record")</f>
        <v/>
      </c>
      <c r="AW638" t="inlineStr">
        <is>
          <t>1049949:eng</t>
        </is>
      </c>
      <c r="AX638" t="inlineStr">
        <is>
          <t>40881504</t>
        </is>
      </c>
      <c r="AY638" t="inlineStr">
        <is>
          <t>991001443289702656</t>
        </is>
      </c>
      <c r="AZ638" t="inlineStr">
        <is>
          <t>991001443289702656</t>
        </is>
      </c>
      <c r="BA638" t="inlineStr">
        <is>
          <t>2256400650002656</t>
        </is>
      </c>
      <c r="BB638" t="inlineStr">
        <is>
          <t>BOOK</t>
        </is>
      </c>
      <c r="BD638" t="inlineStr">
        <is>
          <t>9780781720441</t>
        </is>
      </c>
      <c r="BE638" t="inlineStr">
        <is>
          <t>30001003883917</t>
        </is>
      </c>
      <c r="BF638" t="inlineStr">
        <is>
          <t>893557993</t>
        </is>
      </c>
    </row>
    <row r="639">
      <c r="A639" t="inlineStr">
        <is>
          <t>No</t>
        </is>
      </c>
      <c r="B639" t="inlineStr">
        <is>
          <t>CUHSL</t>
        </is>
      </c>
      <c r="C639" t="inlineStr">
        <is>
          <t>SHELVES</t>
        </is>
      </c>
      <c r="D639" t="inlineStr">
        <is>
          <t>W 62 P912m 1990</t>
        </is>
      </c>
      <c r="E639" t="inlineStr">
        <is>
          <t>0                      W  0062000P  912m        1990</t>
        </is>
      </c>
      <c r="F639" t="inlineStr">
        <is>
          <t>Medical risk management / by Stephen E. Prather, Robert R. Blake, and Jane S. Mouton.</t>
        </is>
      </c>
      <c r="H639" t="inlineStr">
        <is>
          <t>No</t>
        </is>
      </c>
      <c r="I639" t="inlineStr">
        <is>
          <t>1</t>
        </is>
      </c>
      <c r="J639" t="inlineStr">
        <is>
          <t>No</t>
        </is>
      </c>
      <c r="K639" t="inlineStr">
        <is>
          <t>No</t>
        </is>
      </c>
      <c r="L639" t="inlineStr">
        <is>
          <t>0</t>
        </is>
      </c>
      <c r="M639" t="inlineStr">
        <is>
          <t>Prather, Stephen E.</t>
        </is>
      </c>
      <c r="N639" t="inlineStr">
        <is>
          <t>Oradell, N.J. : Medical Economics Co., c1990.</t>
        </is>
      </c>
      <c r="O639" t="inlineStr">
        <is>
          <t>1990</t>
        </is>
      </c>
      <c r="Q639" t="inlineStr">
        <is>
          <t>eng</t>
        </is>
      </c>
      <c r="R639" t="inlineStr">
        <is>
          <t>xxu</t>
        </is>
      </c>
      <c r="T639" t="inlineStr">
        <is>
          <t xml:space="preserve">W  </t>
        </is>
      </c>
      <c r="U639" t="n">
        <v>7</v>
      </c>
      <c r="V639" t="n">
        <v>7</v>
      </c>
      <c r="W639" t="inlineStr">
        <is>
          <t>2003-10-10</t>
        </is>
      </c>
      <c r="X639" t="inlineStr">
        <is>
          <t>2003-10-10</t>
        </is>
      </c>
      <c r="Y639" t="inlineStr">
        <is>
          <t>1990-11-02</t>
        </is>
      </c>
      <c r="Z639" t="inlineStr">
        <is>
          <t>1990-11-02</t>
        </is>
      </c>
      <c r="AA639" t="n">
        <v>69</v>
      </c>
      <c r="AB639" t="n">
        <v>57</v>
      </c>
      <c r="AC639" t="n">
        <v>57</v>
      </c>
      <c r="AD639" t="n">
        <v>1</v>
      </c>
      <c r="AE639" t="n">
        <v>1</v>
      </c>
      <c r="AF639" t="n">
        <v>1</v>
      </c>
      <c r="AG639" t="n">
        <v>1</v>
      </c>
      <c r="AH639" t="n">
        <v>0</v>
      </c>
      <c r="AI639" t="n">
        <v>0</v>
      </c>
      <c r="AJ639" t="n">
        <v>0</v>
      </c>
      <c r="AK639" t="n">
        <v>0</v>
      </c>
      <c r="AL639" t="n">
        <v>0</v>
      </c>
      <c r="AM639" t="n">
        <v>0</v>
      </c>
      <c r="AN639" t="n">
        <v>0</v>
      </c>
      <c r="AO639" t="n">
        <v>0</v>
      </c>
      <c r="AP639" t="n">
        <v>1</v>
      </c>
      <c r="AQ639" t="n">
        <v>1</v>
      </c>
      <c r="AR639" t="inlineStr">
        <is>
          <t>No</t>
        </is>
      </c>
      <c r="AS639" t="inlineStr">
        <is>
          <t>No</t>
        </is>
      </c>
      <c r="AU639">
        <f>HYPERLINK("https://creighton-primo.hosted.exlibrisgroup.com/primo-explore/search?tab=default_tab&amp;search_scope=EVERYTHING&amp;vid=01CRU&amp;lang=en_US&amp;offset=0&amp;query=any,contains,991000774189702656","Catalog Record")</f>
        <v/>
      </c>
      <c r="AV639">
        <f>HYPERLINK("http://www.worldcat.org/oclc/20994089","WorldCat Record")</f>
        <v/>
      </c>
      <c r="AW639" t="inlineStr">
        <is>
          <t>5574045657:eng</t>
        </is>
      </c>
      <c r="AX639" t="inlineStr">
        <is>
          <t>20994089</t>
        </is>
      </c>
      <c r="AY639" t="inlineStr">
        <is>
          <t>991000774189702656</t>
        </is>
      </c>
      <c r="AZ639" t="inlineStr">
        <is>
          <t>991000774189702656</t>
        </is>
      </c>
      <c r="BA639" t="inlineStr">
        <is>
          <t>2266364490002656</t>
        </is>
      </c>
      <c r="BB639" t="inlineStr">
        <is>
          <t>BOOK</t>
        </is>
      </c>
      <c r="BD639" t="inlineStr">
        <is>
          <t>9780874895810</t>
        </is>
      </c>
      <c r="BE639" t="inlineStr">
        <is>
          <t>30001002062810</t>
        </is>
      </c>
      <c r="BF639" t="inlineStr">
        <is>
          <t>893161124</t>
        </is>
      </c>
    </row>
    <row r="640">
      <c r="A640" t="inlineStr">
        <is>
          <t>No</t>
        </is>
      </c>
      <c r="B640" t="inlineStr">
        <is>
          <t>CUHSL</t>
        </is>
      </c>
      <c r="C640" t="inlineStr">
        <is>
          <t>SHELVES</t>
        </is>
      </c>
      <c r="D640" t="inlineStr">
        <is>
          <t>W 62 R317b 1998</t>
        </is>
      </c>
      <c r="E640" t="inlineStr">
        <is>
          <t>0                      W  0062000R  317b        1998</t>
        </is>
      </c>
      <c r="F640" t="inlineStr">
        <is>
          <t>Behind closed doors : gender, sexuality, and touch in the doctor/patient relationship / Angelica Redleaf with Susan A. Baird.</t>
        </is>
      </c>
      <c r="H640" t="inlineStr">
        <is>
          <t>No</t>
        </is>
      </c>
      <c r="I640" t="inlineStr">
        <is>
          <t>1</t>
        </is>
      </c>
      <c r="J640" t="inlineStr">
        <is>
          <t>No</t>
        </is>
      </c>
      <c r="K640" t="inlineStr">
        <is>
          <t>No</t>
        </is>
      </c>
      <c r="L640" t="inlineStr">
        <is>
          <t>0</t>
        </is>
      </c>
      <c r="M640" t="inlineStr">
        <is>
          <t>Redleaf, Angelica, 1946-</t>
        </is>
      </c>
      <c r="N640" t="inlineStr">
        <is>
          <t>Westport, Conn. : Auburn House, c1998.</t>
        </is>
      </c>
      <c r="O640" t="inlineStr">
        <is>
          <t>1998</t>
        </is>
      </c>
      <c r="Q640" t="inlineStr">
        <is>
          <t>eng</t>
        </is>
      </c>
      <c r="R640" t="inlineStr">
        <is>
          <t>ctu</t>
        </is>
      </c>
      <c r="T640" t="inlineStr">
        <is>
          <t xml:space="preserve">W  </t>
        </is>
      </c>
      <c r="U640" t="n">
        <v>5</v>
      </c>
      <c r="V640" t="n">
        <v>5</v>
      </c>
      <c r="W640" t="inlineStr">
        <is>
          <t>2002-03-28</t>
        </is>
      </c>
      <c r="X640" t="inlineStr">
        <is>
          <t>2002-03-28</t>
        </is>
      </c>
      <c r="Y640" t="inlineStr">
        <is>
          <t>1999-07-09</t>
        </is>
      </c>
      <c r="Z640" t="inlineStr">
        <is>
          <t>1999-07-09</t>
        </is>
      </c>
      <c r="AA640" t="n">
        <v>36</v>
      </c>
      <c r="AB640" t="n">
        <v>26</v>
      </c>
      <c r="AC640" t="n">
        <v>120</v>
      </c>
      <c r="AD640" t="n">
        <v>1</v>
      </c>
      <c r="AE640" t="n">
        <v>1</v>
      </c>
      <c r="AF640" t="n">
        <v>0</v>
      </c>
      <c r="AG640" t="n">
        <v>5</v>
      </c>
      <c r="AH640" t="n">
        <v>0</v>
      </c>
      <c r="AI640" t="n">
        <v>0</v>
      </c>
      <c r="AJ640" t="n">
        <v>0</v>
      </c>
      <c r="AK640" t="n">
        <v>2</v>
      </c>
      <c r="AL640" t="n">
        <v>0</v>
      </c>
      <c r="AM640" t="n">
        <v>2</v>
      </c>
      <c r="AN640" t="n">
        <v>0</v>
      </c>
      <c r="AO640" t="n">
        <v>0</v>
      </c>
      <c r="AP640" t="n">
        <v>0</v>
      </c>
      <c r="AQ640" t="n">
        <v>1</v>
      </c>
      <c r="AR640" t="inlineStr">
        <is>
          <t>No</t>
        </is>
      </c>
      <c r="AS640" t="inlineStr">
        <is>
          <t>No</t>
        </is>
      </c>
      <c r="AU640">
        <f>HYPERLINK("https://creighton-primo.hosted.exlibrisgroup.com/primo-explore/search?tab=default_tab&amp;search_scope=EVERYTHING&amp;vid=01CRU&amp;lang=en_US&amp;offset=0&amp;query=any,contains,991000795809702656","Catalog Record")</f>
        <v/>
      </c>
      <c r="AV640">
        <f>HYPERLINK("http://www.worldcat.org/oclc/40682356","WorldCat Record")</f>
        <v/>
      </c>
      <c r="AW640" t="inlineStr">
        <is>
          <t>25832001:eng</t>
        </is>
      </c>
      <c r="AX640" t="inlineStr">
        <is>
          <t>40682356</t>
        </is>
      </c>
      <c r="AY640" t="inlineStr">
        <is>
          <t>991000795809702656</t>
        </is>
      </c>
      <c r="AZ640" t="inlineStr">
        <is>
          <t>991000795809702656</t>
        </is>
      </c>
      <c r="BA640" t="inlineStr">
        <is>
          <t>2264529360002656</t>
        </is>
      </c>
      <c r="BB640" t="inlineStr">
        <is>
          <t>BOOK</t>
        </is>
      </c>
      <c r="BD640" t="inlineStr">
        <is>
          <t>9780865692855</t>
        </is>
      </c>
      <c r="BE640" t="inlineStr">
        <is>
          <t>30001004078145</t>
        </is>
      </c>
      <c r="BF640" t="inlineStr">
        <is>
          <t>893735795</t>
        </is>
      </c>
    </row>
    <row r="641">
      <c r="A641" t="inlineStr">
        <is>
          <t>No</t>
        </is>
      </c>
      <c r="B641" t="inlineStr">
        <is>
          <t>CUHSL</t>
        </is>
      </c>
      <c r="C641" t="inlineStr">
        <is>
          <t>SHELVES</t>
        </is>
      </c>
      <c r="D641" t="inlineStr">
        <is>
          <t>W62 R816h 2003</t>
        </is>
      </c>
      <c r="E641" t="inlineStr">
        <is>
          <t>0                      W  0062000R  816h        2003</t>
        </is>
      </c>
      <c r="F641" t="inlineStr">
        <is>
          <t>How to give your patients bad news : a guide for students and experienced health professionals / by Harvey M. Rosenwasser and Beth J. Rosenwasser</t>
        </is>
      </c>
      <c r="H641" t="inlineStr">
        <is>
          <t>No</t>
        </is>
      </c>
      <c r="I641" t="inlineStr">
        <is>
          <t>1</t>
        </is>
      </c>
      <c r="J641" t="inlineStr">
        <is>
          <t>No</t>
        </is>
      </c>
      <c r="K641" t="inlineStr">
        <is>
          <t>No</t>
        </is>
      </c>
      <c r="L641" t="inlineStr">
        <is>
          <t>0</t>
        </is>
      </c>
      <c r="M641" t="inlineStr">
        <is>
          <t>Rosenwasser, Harvey M.</t>
        </is>
      </c>
      <c r="N641" t="inlineStr">
        <is>
          <t>Bloomington, IN : The authors, c2003</t>
        </is>
      </c>
      <c r="O641" t="inlineStr">
        <is>
          <t>2003</t>
        </is>
      </c>
      <c r="Q641" t="inlineStr">
        <is>
          <t>eng</t>
        </is>
      </c>
      <c r="R641" t="inlineStr">
        <is>
          <t>inu</t>
        </is>
      </c>
      <c r="S641" t="inlineStr">
        <is>
          <t>1stBooks library</t>
        </is>
      </c>
      <c r="T641" t="inlineStr">
        <is>
          <t xml:space="preserve">W  </t>
        </is>
      </c>
      <c r="U641" t="n">
        <v>2</v>
      </c>
      <c r="V641" t="n">
        <v>2</v>
      </c>
      <c r="W641" t="inlineStr">
        <is>
          <t>2004-03-22</t>
        </is>
      </c>
      <c r="X641" t="inlineStr">
        <is>
          <t>2004-03-22</t>
        </is>
      </c>
      <c r="Y641" t="inlineStr">
        <is>
          <t>2004-02-12</t>
        </is>
      </c>
      <c r="Z641" t="inlineStr">
        <is>
          <t>2004-02-12</t>
        </is>
      </c>
      <c r="AA641" t="n">
        <v>3</v>
      </c>
      <c r="AB641" t="n">
        <v>3</v>
      </c>
      <c r="AC641" t="n">
        <v>10</v>
      </c>
      <c r="AD641" t="n">
        <v>1</v>
      </c>
      <c r="AE641" t="n">
        <v>1</v>
      </c>
      <c r="AF641" t="n">
        <v>0</v>
      </c>
      <c r="AG641" t="n">
        <v>0</v>
      </c>
      <c r="AH641" t="n">
        <v>0</v>
      </c>
      <c r="AI641" t="n">
        <v>0</v>
      </c>
      <c r="AJ641" t="n">
        <v>0</v>
      </c>
      <c r="AK641" t="n">
        <v>0</v>
      </c>
      <c r="AL641" t="n">
        <v>0</v>
      </c>
      <c r="AM641" t="n">
        <v>0</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HYPERLINK("https://creighton-primo.hosted.exlibrisgroup.com/primo-explore/search?tab=default_tab&amp;search_scope=EVERYTHING&amp;vid=01CRU&amp;lang=en_US&amp;offset=0&amp;query=any,contains,991000366059702656","Catalog Record")</f>
        <v/>
      </c>
      <c r="AV641">
        <f>HYPERLINK("http://www.worldcat.org/oclc/54099643","WorldCat Record")</f>
        <v/>
      </c>
      <c r="AW641" t="inlineStr">
        <is>
          <t>766014:eng</t>
        </is>
      </c>
      <c r="AX641" t="inlineStr">
        <is>
          <t>54099643</t>
        </is>
      </c>
      <c r="AY641" t="inlineStr">
        <is>
          <t>991000366059702656</t>
        </is>
      </c>
      <c r="AZ641" t="inlineStr">
        <is>
          <t>991000366059702656</t>
        </is>
      </c>
      <c r="BA641" t="inlineStr">
        <is>
          <t>2259701650002656</t>
        </is>
      </c>
      <c r="BB641" t="inlineStr">
        <is>
          <t>BOOK</t>
        </is>
      </c>
      <c r="BE641" t="inlineStr">
        <is>
          <t>30001004508950</t>
        </is>
      </c>
      <c r="BF641" t="inlineStr">
        <is>
          <t>893279952</t>
        </is>
      </c>
    </row>
    <row r="642">
      <c r="A642" t="inlineStr">
        <is>
          <t>No</t>
        </is>
      </c>
      <c r="B642" t="inlineStr">
        <is>
          <t>CUHSL</t>
        </is>
      </c>
      <c r="C642" t="inlineStr">
        <is>
          <t>SHELVES</t>
        </is>
      </c>
      <c r="D642" t="inlineStr">
        <is>
          <t>W 62 S192g 1981</t>
        </is>
      </c>
      <c r="E642" t="inlineStr">
        <is>
          <t>0                      W  0062000S  192g        1981</t>
        </is>
      </c>
      <c r="F642" t="inlineStr">
        <is>
          <t>Group process for the health professions / Edward E. Sampson, Marya Marthas.</t>
        </is>
      </c>
      <c r="H642" t="inlineStr">
        <is>
          <t>No</t>
        </is>
      </c>
      <c r="I642" t="inlineStr">
        <is>
          <t>1</t>
        </is>
      </c>
      <c r="J642" t="inlineStr">
        <is>
          <t>No</t>
        </is>
      </c>
      <c r="K642" t="inlineStr">
        <is>
          <t>No</t>
        </is>
      </c>
      <c r="L642" t="inlineStr">
        <is>
          <t>0</t>
        </is>
      </c>
      <c r="M642" t="inlineStr">
        <is>
          <t>Sampson, Edward E.</t>
        </is>
      </c>
      <c r="N642" t="inlineStr">
        <is>
          <t>New York : Wiley, c1981.</t>
        </is>
      </c>
      <c r="O642" t="inlineStr">
        <is>
          <t>1981</t>
        </is>
      </c>
      <c r="P642" t="inlineStr">
        <is>
          <t>2nd ed.</t>
        </is>
      </c>
      <c r="Q642" t="inlineStr">
        <is>
          <t>eng</t>
        </is>
      </c>
      <c r="R642" t="inlineStr">
        <is>
          <t>xxu</t>
        </is>
      </c>
      <c r="S642" t="inlineStr">
        <is>
          <t>A Wiley medical publication</t>
        </is>
      </c>
      <c r="T642" t="inlineStr">
        <is>
          <t xml:space="preserve">W  </t>
        </is>
      </c>
      <c r="U642" t="n">
        <v>5</v>
      </c>
      <c r="V642" t="n">
        <v>5</v>
      </c>
      <c r="W642" t="inlineStr">
        <is>
          <t>1995-09-07</t>
        </is>
      </c>
      <c r="X642" t="inlineStr">
        <is>
          <t>1995-09-07</t>
        </is>
      </c>
      <c r="Y642" t="inlineStr">
        <is>
          <t>1987-12-18</t>
        </is>
      </c>
      <c r="Z642" t="inlineStr">
        <is>
          <t>1987-12-18</t>
        </is>
      </c>
      <c r="AA642" t="n">
        <v>257</v>
      </c>
      <c r="AB642" t="n">
        <v>208</v>
      </c>
      <c r="AC642" t="n">
        <v>434</v>
      </c>
      <c r="AD642" t="n">
        <v>1</v>
      </c>
      <c r="AE642" t="n">
        <v>3</v>
      </c>
      <c r="AF642" t="n">
        <v>7</v>
      </c>
      <c r="AG642" t="n">
        <v>14</v>
      </c>
      <c r="AH642" t="n">
        <v>3</v>
      </c>
      <c r="AI642" t="n">
        <v>4</v>
      </c>
      <c r="AJ642" t="n">
        <v>3</v>
      </c>
      <c r="AK642" t="n">
        <v>4</v>
      </c>
      <c r="AL642" t="n">
        <v>5</v>
      </c>
      <c r="AM642" t="n">
        <v>10</v>
      </c>
      <c r="AN642" t="n">
        <v>0</v>
      </c>
      <c r="AO642" t="n">
        <v>2</v>
      </c>
      <c r="AP642" t="n">
        <v>0</v>
      </c>
      <c r="AQ642" t="n">
        <v>0</v>
      </c>
      <c r="AR642" t="inlineStr">
        <is>
          <t>No</t>
        </is>
      </c>
      <c r="AS642" t="inlineStr">
        <is>
          <t>Yes</t>
        </is>
      </c>
      <c r="AT642">
        <f>HYPERLINK("http://catalog.hathitrust.org/Record/000186949","HathiTrust Record")</f>
        <v/>
      </c>
      <c r="AU642">
        <f>HYPERLINK("https://creighton-primo.hosted.exlibrisgroup.com/primo-explore/search?tab=default_tab&amp;search_scope=EVERYTHING&amp;vid=01CRU&amp;lang=en_US&amp;offset=0&amp;query=any,contains,991001543169702656","Catalog Record")</f>
        <v/>
      </c>
      <c r="AV642">
        <f>HYPERLINK("http://www.worldcat.org/oclc/6941845","WorldCat Record")</f>
        <v/>
      </c>
      <c r="AW642" t="inlineStr">
        <is>
          <t>8106400:eng</t>
        </is>
      </c>
      <c r="AX642" t="inlineStr">
        <is>
          <t>6941845</t>
        </is>
      </c>
      <c r="AY642" t="inlineStr">
        <is>
          <t>991001543169702656</t>
        </is>
      </c>
      <c r="AZ642" t="inlineStr">
        <is>
          <t>991001543169702656</t>
        </is>
      </c>
      <c r="BA642" t="inlineStr">
        <is>
          <t>2257329780002656</t>
        </is>
      </c>
      <c r="BB642" t="inlineStr">
        <is>
          <t>BOOK</t>
        </is>
      </c>
      <c r="BD642" t="inlineStr">
        <is>
          <t>9780471082798</t>
        </is>
      </c>
      <c r="BE642" t="inlineStr">
        <is>
          <t>30001000636102</t>
        </is>
      </c>
      <c r="BF642" t="inlineStr">
        <is>
          <t>893546801</t>
        </is>
      </c>
    </row>
    <row r="643">
      <c r="A643" t="inlineStr">
        <is>
          <t>No</t>
        </is>
      </c>
      <c r="B643" t="inlineStr">
        <is>
          <t>CUHSL</t>
        </is>
      </c>
      <c r="C643" t="inlineStr">
        <is>
          <t>SHELVES</t>
        </is>
      </c>
      <c r="D643" t="inlineStr">
        <is>
          <t>W 62 S531p 1984</t>
        </is>
      </c>
      <c r="E643" t="inlineStr">
        <is>
          <t>0                      W  0062000S  531p        1984</t>
        </is>
      </c>
      <c r="F643" t="inlineStr">
        <is>
          <t>The physician's guide to better communication / Barbara F. Sharf, in consultation with Joseph A. Flaherty.</t>
        </is>
      </c>
      <c r="H643" t="inlineStr">
        <is>
          <t>No</t>
        </is>
      </c>
      <c r="I643" t="inlineStr">
        <is>
          <t>1</t>
        </is>
      </c>
      <c r="J643" t="inlineStr">
        <is>
          <t>No</t>
        </is>
      </c>
      <c r="K643" t="inlineStr">
        <is>
          <t>No</t>
        </is>
      </c>
      <c r="L643" t="inlineStr">
        <is>
          <t>0</t>
        </is>
      </c>
      <c r="M643" t="inlineStr">
        <is>
          <t>Sharf, Barbara F., 1948-</t>
        </is>
      </c>
      <c r="N643" t="inlineStr">
        <is>
          <t>Glenview, Ill. : Scott, Foresman, c1984.</t>
        </is>
      </c>
      <c r="O643" t="inlineStr">
        <is>
          <t>1984</t>
        </is>
      </c>
      <c r="Q643" t="inlineStr">
        <is>
          <t>eng</t>
        </is>
      </c>
      <c r="R643" t="inlineStr">
        <is>
          <t>xxu</t>
        </is>
      </c>
      <c r="S643" t="inlineStr">
        <is>
          <t>The Scott, Foresman PROCOM series</t>
        </is>
      </c>
      <c r="T643" t="inlineStr">
        <is>
          <t xml:space="preserve">W  </t>
        </is>
      </c>
      <c r="U643" t="n">
        <v>8</v>
      </c>
      <c r="V643" t="n">
        <v>8</v>
      </c>
      <c r="W643" t="inlineStr">
        <is>
          <t>1999-12-05</t>
        </is>
      </c>
      <c r="X643" t="inlineStr">
        <is>
          <t>1999-12-05</t>
        </is>
      </c>
      <c r="Y643" t="inlineStr">
        <is>
          <t>1987-12-18</t>
        </is>
      </c>
      <c r="Z643" t="inlineStr">
        <is>
          <t>1987-12-18</t>
        </is>
      </c>
      <c r="AA643" t="n">
        <v>51</v>
      </c>
      <c r="AB643" t="n">
        <v>43</v>
      </c>
      <c r="AC643" t="n">
        <v>45</v>
      </c>
      <c r="AD643" t="n">
        <v>1</v>
      </c>
      <c r="AE643" t="n">
        <v>1</v>
      </c>
      <c r="AF643" t="n">
        <v>0</v>
      </c>
      <c r="AG643" t="n">
        <v>0</v>
      </c>
      <c r="AH643" t="n">
        <v>0</v>
      </c>
      <c r="AI643" t="n">
        <v>0</v>
      </c>
      <c r="AJ643" t="n">
        <v>0</v>
      </c>
      <c r="AK643" t="n">
        <v>0</v>
      </c>
      <c r="AL643" t="n">
        <v>0</v>
      </c>
      <c r="AM643" t="n">
        <v>0</v>
      </c>
      <c r="AN643" t="n">
        <v>0</v>
      </c>
      <c r="AO643" t="n">
        <v>0</v>
      </c>
      <c r="AP643" t="n">
        <v>0</v>
      </c>
      <c r="AQ643" t="n">
        <v>0</v>
      </c>
      <c r="AR643" t="inlineStr">
        <is>
          <t>No</t>
        </is>
      </c>
      <c r="AS643" t="inlineStr">
        <is>
          <t>Yes</t>
        </is>
      </c>
      <c r="AT643">
        <f>HYPERLINK("http://catalog.hathitrust.org/Record/000207751","HathiTrust Record")</f>
        <v/>
      </c>
      <c r="AU643">
        <f>HYPERLINK("https://creighton-primo.hosted.exlibrisgroup.com/primo-explore/search?tab=default_tab&amp;search_scope=EVERYTHING&amp;vid=01CRU&amp;lang=en_US&amp;offset=0&amp;query=any,contains,991001543209702656","Catalog Record")</f>
        <v/>
      </c>
      <c r="AV643">
        <f>HYPERLINK("http://www.worldcat.org/oclc/9682926","WorldCat Record")</f>
        <v/>
      </c>
      <c r="AW643" t="inlineStr">
        <is>
          <t>43728635:eng</t>
        </is>
      </c>
      <c r="AX643" t="inlineStr">
        <is>
          <t>9682926</t>
        </is>
      </c>
      <c r="AY643" t="inlineStr">
        <is>
          <t>991001543209702656</t>
        </is>
      </c>
      <c r="AZ643" t="inlineStr">
        <is>
          <t>991001543209702656</t>
        </is>
      </c>
      <c r="BA643" t="inlineStr">
        <is>
          <t>2269542840002656</t>
        </is>
      </c>
      <c r="BB643" t="inlineStr">
        <is>
          <t>BOOK</t>
        </is>
      </c>
      <c r="BD643" t="inlineStr">
        <is>
          <t>9780673155597</t>
        </is>
      </c>
      <c r="BE643" t="inlineStr">
        <is>
          <t>30001000636110</t>
        </is>
      </c>
      <c r="BF643" t="inlineStr">
        <is>
          <t>893832296</t>
        </is>
      </c>
    </row>
    <row r="644">
      <c r="A644" t="inlineStr">
        <is>
          <t>No</t>
        </is>
      </c>
      <c r="B644" t="inlineStr">
        <is>
          <t>CUHSL</t>
        </is>
      </c>
      <c r="C644" t="inlineStr">
        <is>
          <t>SHELVES</t>
        </is>
      </c>
      <c r="D644" t="inlineStr">
        <is>
          <t>W 62 S714b 1988</t>
        </is>
      </c>
      <c r="E644" t="inlineStr">
        <is>
          <t>0                      W  0062000S  714b        1988</t>
        </is>
      </c>
      <c r="F644" t="inlineStr">
        <is>
          <t>The bitter pill : tough choices in America's health policy / Richard Sorian.</t>
        </is>
      </c>
      <c r="H644" t="inlineStr">
        <is>
          <t>No</t>
        </is>
      </c>
      <c r="I644" t="inlineStr">
        <is>
          <t>1</t>
        </is>
      </c>
      <c r="J644" t="inlineStr">
        <is>
          <t>No</t>
        </is>
      </c>
      <c r="K644" t="inlineStr">
        <is>
          <t>No</t>
        </is>
      </c>
      <c r="L644" t="inlineStr">
        <is>
          <t>0</t>
        </is>
      </c>
      <c r="M644" t="inlineStr">
        <is>
          <t>Sorian, Richard, 1960-</t>
        </is>
      </c>
      <c r="N644" t="inlineStr">
        <is>
          <t>New York : McGraw-Hill, c1988.</t>
        </is>
      </c>
      <c r="O644" t="inlineStr">
        <is>
          <t>1988</t>
        </is>
      </c>
      <c r="Q644" t="inlineStr">
        <is>
          <t>eng</t>
        </is>
      </c>
      <c r="R644" t="inlineStr">
        <is>
          <t>nyu</t>
        </is>
      </c>
      <c r="T644" t="inlineStr">
        <is>
          <t xml:space="preserve">W  </t>
        </is>
      </c>
      <c r="U644" t="n">
        <v>5</v>
      </c>
      <c r="V644" t="n">
        <v>5</v>
      </c>
      <c r="W644" t="inlineStr">
        <is>
          <t>1990-01-15</t>
        </is>
      </c>
      <c r="X644" t="inlineStr">
        <is>
          <t>1990-01-15</t>
        </is>
      </c>
      <c r="Y644" t="inlineStr">
        <is>
          <t>1989-04-04</t>
        </is>
      </c>
      <c r="Z644" t="inlineStr">
        <is>
          <t>1989-04-04</t>
        </is>
      </c>
      <c r="AA644" t="n">
        <v>213</v>
      </c>
      <c r="AB644" t="n">
        <v>192</v>
      </c>
      <c r="AC644" t="n">
        <v>198</v>
      </c>
      <c r="AD644" t="n">
        <v>1</v>
      </c>
      <c r="AE644" t="n">
        <v>1</v>
      </c>
      <c r="AF644" t="n">
        <v>8</v>
      </c>
      <c r="AG644" t="n">
        <v>8</v>
      </c>
      <c r="AH644" t="n">
        <v>2</v>
      </c>
      <c r="AI644" t="n">
        <v>2</v>
      </c>
      <c r="AJ644" t="n">
        <v>2</v>
      </c>
      <c r="AK644" t="n">
        <v>2</v>
      </c>
      <c r="AL644" t="n">
        <v>4</v>
      </c>
      <c r="AM644" t="n">
        <v>4</v>
      </c>
      <c r="AN644" t="n">
        <v>0</v>
      </c>
      <c r="AO644" t="n">
        <v>0</v>
      </c>
      <c r="AP644" t="n">
        <v>2</v>
      </c>
      <c r="AQ644" t="n">
        <v>2</v>
      </c>
      <c r="AR644" t="inlineStr">
        <is>
          <t>No</t>
        </is>
      </c>
      <c r="AS644" t="inlineStr">
        <is>
          <t>Yes</t>
        </is>
      </c>
      <c r="AT644">
        <f>HYPERLINK("http://catalog.hathitrust.org/Record/000945091","HathiTrust Record")</f>
        <v/>
      </c>
      <c r="AU644">
        <f>HYPERLINK("https://creighton-primo.hosted.exlibrisgroup.com/primo-explore/search?tab=default_tab&amp;search_scope=EVERYTHING&amp;vid=01CRU&amp;lang=en_US&amp;offset=0&amp;query=any,contains,991001243239702656","Catalog Record")</f>
        <v/>
      </c>
      <c r="AV644">
        <f>HYPERLINK("http://www.worldcat.org/oclc/17953685","WorldCat Record")</f>
        <v/>
      </c>
      <c r="AW644" t="inlineStr">
        <is>
          <t>16320698:eng</t>
        </is>
      </c>
      <c r="AX644" t="inlineStr">
        <is>
          <t>17953685</t>
        </is>
      </c>
      <c r="AY644" t="inlineStr">
        <is>
          <t>991001243239702656</t>
        </is>
      </c>
      <c r="AZ644" t="inlineStr">
        <is>
          <t>991001243239702656</t>
        </is>
      </c>
      <c r="BA644" t="inlineStr">
        <is>
          <t>2271928240002656</t>
        </is>
      </c>
      <c r="BB644" t="inlineStr">
        <is>
          <t>BOOK</t>
        </is>
      </c>
      <c r="BD644" t="inlineStr">
        <is>
          <t>9780070597365</t>
        </is>
      </c>
      <c r="BE644" t="inlineStr">
        <is>
          <t>30001001676263</t>
        </is>
      </c>
      <c r="BF644" t="inlineStr">
        <is>
          <t>893268242</t>
        </is>
      </c>
    </row>
    <row r="645">
      <c r="A645" t="inlineStr">
        <is>
          <t>No</t>
        </is>
      </c>
      <c r="B645" t="inlineStr">
        <is>
          <t>CUHSL</t>
        </is>
      </c>
      <c r="C645" t="inlineStr">
        <is>
          <t>SHELVES</t>
        </is>
      </c>
      <c r="D645" t="inlineStr">
        <is>
          <t>W 62 S774 1994</t>
        </is>
      </c>
      <c r="E645" t="inlineStr">
        <is>
          <t>0                      W  0062000S  774         1994</t>
        </is>
      </c>
      <c r="F645" t="inlineStr">
        <is>
          <t>Smart patient, good medicine : working with your doctor to get the best medical care / Richard L. Sribnick and Wayne B. Sribnick ; [foreword by Charles B. Inlander].</t>
        </is>
      </c>
      <c r="H645" t="inlineStr">
        <is>
          <t>No</t>
        </is>
      </c>
      <c r="I645" t="inlineStr">
        <is>
          <t>1</t>
        </is>
      </c>
      <c r="J645" t="inlineStr">
        <is>
          <t>No</t>
        </is>
      </c>
      <c r="K645" t="inlineStr">
        <is>
          <t>No</t>
        </is>
      </c>
      <c r="L645" t="inlineStr">
        <is>
          <t>0</t>
        </is>
      </c>
      <c r="M645" t="inlineStr">
        <is>
          <t>Sribnick, Richard L.</t>
        </is>
      </c>
      <c r="N645" t="inlineStr">
        <is>
          <t>New York : Walker and Co., c1994.</t>
        </is>
      </c>
      <c r="O645" t="inlineStr">
        <is>
          <t>1994</t>
        </is>
      </c>
      <c r="Q645" t="inlineStr">
        <is>
          <t>eng</t>
        </is>
      </c>
      <c r="R645" t="inlineStr">
        <is>
          <t>nyu</t>
        </is>
      </c>
      <c r="T645" t="inlineStr">
        <is>
          <t xml:space="preserve">W  </t>
        </is>
      </c>
      <c r="U645" t="n">
        <v>3</v>
      </c>
      <c r="V645" t="n">
        <v>3</v>
      </c>
      <c r="W645" t="inlineStr">
        <is>
          <t>1999-01-28</t>
        </is>
      </c>
      <c r="X645" t="inlineStr">
        <is>
          <t>1999-01-28</t>
        </is>
      </c>
      <c r="Y645" t="inlineStr">
        <is>
          <t>1998-01-16</t>
        </is>
      </c>
      <c r="Z645" t="inlineStr">
        <is>
          <t>1998-01-16</t>
        </is>
      </c>
      <c r="AA645" t="n">
        <v>103</v>
      </c>
      <c r="AB645" t="n">
        <v>99</v>
      </c>
      <c r="AC645" t="n">
        <v>104</v>
      </c>
      <c r="AD645" t="n">
        <v>1</v>
      </c>
      <c r="AE645" t="n">
        <v>1</v>
      </c>
      <c r="AF645" t="n">
        <v>1</v>
      </c>
      <c r="AG645" t="n">
        <v>1</v>
      </c>
      <c r="AH645" t="n">
        <v>0</v>
      </c>
      <c r="AI645" t="n">
        <v>0</v>
      </c>
      <c r="AJ645" t="n">
        <v>0</v>
      </c>
      <c r="AK645" t="n">
        <v>0</v>
      </c>
      <c r="AL645" t="n">
        <v>1</v>
      </c>
      <c r="AM645" t="n">
        <v>1</v>
      </c>
      <c r="AN645" t="n">
        <v>0</v>
      </c>
      <c r="AO645" t="n">
        <v>0</v>
      </c>
      <c r="AP645" t="n">
        <v>0</v>
      </c>
      <c r="AQ645" t="n">
        <v>0</v>
      </c>
      <c r="AR645" t="inlineStr">
        <is>
          <t>No</t>
        </is>
      </c>
      <c r="AS645" t="inlineStr">
        <is>
          <t>No</t>
        </is>
      </c>
      <c r="AU645">
        <f>HYPERLINK("https://creighton-primo.hosted.exlibrisgroup.com/primo-explore/search?tab=default_tab&amp;search_scope=EVERYTHING&amp;vid=01CRU&amp;lang=en_US&amp;offset=0&amp;query=any,contains,991001562169702656","Catalog Record")</f>
        <v/>
      </c>
      <c r="AV645">
        <f>HYPERLINK("http://www.worldcat.org/oclc/29704219","WorldCat Record")</f>
        <v/>
      </c>
      <c r="AW645" t="inlineStr">
        <is>
          <t>5164489257:eng</t>
        </is>
      </c>
      <c r="AX645" t="inlineStr">
        <is>
          <t>29704219</t>
        </is>
      </c>
      <c r="AY645" t="inlineStr">
        <is>
          <t>991001562169702656</t>
        </is>
      </c>
      <c r="AZ645" t="inlineStr">
        <is>
          <t>991001562169702656</t>
        </is>
      </c>
      <c r="BA645" t="inlineStr">
        <is>
          <t>2260143580002656</t>
        </is>
      </c>
      <c r="BB645" t="inlineStr">
        <is>
          <t>BOOK</t>
        </is>
      </c>
      <c r="BD645" t="inlineStr">
        <is>
          <t>9780802712875</t>
        </is>
      </c>
      <c r="BE645" t="inlineStr">
        <is>
          <t>30001003669696</t>
        </is>
      </c>
      <c r="BF645" t="inlineStr">
        <is>
          <t>893832314</t>
        </is>
      </c>
    </row>
    <row r="646">
      <c r="A646" t="inlineStr">
        <is>
          <t>No</t>
        </is>
      </c>
      <c r="B646" t="inlineStr">
        <is>
          <t>CUHSL</t>
        </is>
      </c>
      <c r="C646" t="inlineStr">
        <is>
          <t>SHELVES</t>
        </is>
      </c>
      <c r="D646" t="inlineStr">
        <is>
          <t>W 62 T545d 1996</t>
        </is>
      </c>
      <c r="E646" t="inlineStr">
        <is>
          <t>0                      W  0062000T  545d        1996</t>
        </is>
      </c>
      <c r="F646" t="inlineStr">
        <is>
          <t>Death of compassion : the endangered doctor-patient relationship / Jeffrey Thurston.</t>
        </is>
      </c>
      <c r="H646" t="inlineStr">
        <is>
          <t>No</t>
        </is>
      </c>
      <c r="I646" t="inlineStr">
        <is>
          <t>1</t>
        </is>
      </c>
      <c r="J646" t="inlineStr">
        <is>
          <t>No</t>
        </is>
      </c>
      <c r="K646" t="inlineStr">
        <is>
          <t>No</t>
        </is>
      </c>
      <c r="L646" t="inlineStr">
        <is>
          <t>0</t>
        </is>
      </c>
      <c r="M646" t="inlineStr">
        <is>
          <t>Thurston, Jeffrey, 1956-</t>
        </is>
      </c>
      <c r="N646" t="inlineStr">
        <is>
          <t>Waco, Tex. : WRS Pub., c1996.</t>
        </is>
      </c>
      <c r="O646" t="inlineStr">
        <is>
          <t>1996</t>
        </is>
      </c>
      <c r="Q646" t="inlineStr">
        <is>
          <t>eng</t>
        </is>
      </c>
      <c r="R646" t="inlineStr">
        <is>
          <t>xxu</t>
        </is>
      </c>
      <c r="T646" t="inlineStr">
        <is>
          <t xml:space="preserve">W  </t>
        </is>
      </c>
      <c r="U646" t="n">
        <v>18</v>
      </c>
      <c r="V646" t="n">
        <v>18</v>
      </c>
      <c r="W646" t="inlineStr">
        <is>
          <t>1998-11-12</t>
        </is>
      </c>
      <c r="X646" t="inlineStr">
        <is>
          <t>1998-11-12</t>
        </is>
      </c>
      <c r="Y646" t="inlineStr">
        <is>
          <t>1996-04-03</t>
        </is>
      </c>
      <c r="Z646" t="inlineStr">
        <is>
          <t>1996-04-03</t>
        </is>
      </c>
      <c r="AA646" t="n">
        <v>174</v>
      </c>
      <c r="AB646" t="n">
        <v>169</v>
      </c>
      <c r="AC646" t="n">
        <v>189</v>
      </c>
      <c r="AD646" t="n">
        <v>2</v>
      </c>
      <c r="AE646" t="n">
        <v>2</v>
      </c>
      <c r="AF646" t="n">
        <v>5</v>
      </c>
      <c r="AG646" t="n">
        <v>6</v>
      </c>
      <c r="AH646" t="n">
        <v>1</v>
      </c>
      <c r="AI646" t="n">
        <v>2</v>
      </c>
      <c r="AJ646" t="n">
        <v>1</v>
      </c>
      <c r="AK646" t="n">
        <v>1</v>
      </c>
      <c r="AL646" t="n">
        <v>2</v>
      </c>
      <c r="AM646" t="n">
        <v>2</v>
      </c>
      <c r="AN646" t="n">
        <v>1</v>
      </c>
      <c r="AO646" t="n">
        <v>1</v>
      </c>
      <c r="AP646" t="n">
        <v>0</v>
      </c>
      <c r="AQ646" t="n">
        <v>0</v>
      </c>
      <c r="AR646" t="inlineStr">
        <is>
          <t>No</t>
        </is>
      </c>
      <c r="AS646" t="inlineStr">
        <is>
          <t>Yes</t>
        </is>
      </c>
      <c r="AT646">
        <f>HYPERLINK("http://catalog.hathitrust.org/Record/009923097","HathiTrust Record")</f>
        <v/>
      </c>
      <c r="AU646">
        <f>HYPERLINK("https://creighton-primo.hosted.exlibrisgroup.com/primo-explore/search?tab=default_tab&amp;search_scope=EVERYTHING&amp;vid=01CRU&amp;lang=en_US&amp;offset=0&amp;query=any,contains,991001505669702656","Catalog Record")</f>
        <v/>
      </c>
      <c r="AV646">
        <f>HYPERLINK("http://www.worldcat.org/oclc/33132619","WorldCat Record")</f>
        <v/>
      </c>
      <c r="AW646" t="inlineStr">
        <is>
          <t>1011226270:eng</t>
        </is>
      </c>
      <c r="AX646" t="inlineStr">
        <is>
          <t>33132619</t>
        </is>
      </c>
      <c r="AY646" t="inlineStr">
        <is>
          <t>991001505669702656</t>
        </is>
      </c>
      <c r="AZ646" t="inlineStr">
        <is>
          <t>991001505669702656</t>
        </is>
      </c>
      <c r="BA646" t="inlineStr">
        <is>
          <t>2267432990002656</t>
        </is>
      </c>
      <c r="BB646" t="inlineStr">
        <is>
          <t>BOOK</t>
        </is>
      </c>
      <c r="BD646" t="inlineStr">
        <is>
          <t>9781567961195</t>
        </is>
      </c>
      <c r="BE646" t="inlineStr">
        <is>
          <t>30001003264282</t>
        </is>
      </c>
      <c r="BF646" t="inlineStr">
        <is>
          <t>893821261</t>
        </is>
      </c>
    </row>
    <row r="647">
      <c r="A647" t="inlineStr">
        <is>
          <t>No</t>
        </is>
      </c>
      <c r="B647" t="inlineStr">
        <is>
          <t>CUHSL</t>
        </is>
      </c>
      <c r="C647" t="inlineStr">
        <is>
          <t>SHELVES</t>
        </is>
      </c>
      <c r="D647" t="inlineStr">
        <is>
          <t>W 62 V953c 1957</t>
        </is>
      </c>
      <c r="E647" t="inlineStr">
        <is>
          <t>0                      W  0062000V  953c        1957</t>
        </is>
      </c>
      <c r="F647" t="inlineStr">
        <is>
          <t>The changing patient-doctor relationship / Martin G. Vorhaus.</t>
        </is>
      </c>
      <c r="H647" t="inlineStr">
        <is>
          <t>No</t>
        </is>
      </c>
      <c r="I647" t="inlineStr">
        <is>
          <t>1</t>
        </is>
      </c>
      <c r="J647" t="inlineStr">
        <is>
          <t>No</t>
        </is>
      </c>
      <c r="K647" t="inlineStr">
        <is>
          <t>No</t>
        </is>
      </c>
      <c r="L647" t="inlineStr">
        <is>
          <t>0</t>
        </is>
      </c>
      <c r="M647" t="inlineStr">
        <is>
          <t>Vorhaus, Martin G. (Martin Grossman), 1896-</t>
        </is>
      </c>
      <c r="N647" t="inlineStr">
        <is>
          <t>New York : Horizon Press, 1957.</t>
        </is>
      </c>
      <c r="O647" t="inlineStr">
        <is>
          <t>1957</t>
        </is>
      </c>
      <c r="Q647" t="inlineStr">
        <is>
          <t>eng</t>
        </is>
      </c>
      <c r="R647" t="inlineStr">
        <is>
          <t>nyu</t>
        </is>
      </c>
      <c r="T647" t="inlineStr">
        <is>
          <t xml:space="preserve">W  </t>
        </is>
      </c>
      <c r="U647" t="n">
        <v>3</v>
      </c>
      <c r="V647" t="n">
        <v>3</v>
      </c>
      <c r="W647" t="inlineStr">
        <is>
          <t>1999-12-05</t>
        </is>
      </c>
      <c r="X647" t="inlineStr">
        <is>
          <t>1999-12-05</t>
        </is>
      </c>
      <c r="Y647" t="inlineStr">
        <is>
          <t>1987-12-18</t>
        </is>
      </c>
      <c r="Z647" t="inlineStr">
        <is>
          <t>1987-12-18</t>
        </is>
      </c>
      <c r="AA647" t="n">
        <v>73</v>
      </c>
      <c r="AB647" t="n">
        <v>63</v>
      </c>
      <c r="AC647" t="n">
        <v>70</v>
      </c>
      <c r="AD647" t="n">
        <v>1</v>
      </c>
      <c r="AE647" t="n">
        <v>1</v>
      </c>
      <c r="AF647" t="n">
        <v>1</v>
      </c>
      <c r="AG647" t="n">
        <v>1</v>
      </c>
      <c r="AH647" t="n">
        <v>0</v>
      </c>
      <c r="AI647" t="n">
        <v>0</v>
      </c>
      <c r="AJ647" t="n">
        <v>0</v>
      </c>
      <c r="AK647" t="n">
        <v>0</v>
      </c>
      <c r="AL647" t="n">
        <v>1</v>
      </c>
      <c r="AM647" t="n">
        <v>1</v>
      </c>
      <c r="AN647" t="n">
        <v>0</v>
      </c>
      <c r="AO647" t="n">
        <v>0</v>
      </c>
      <c r="AP647" t="n">
        <v>0</v>
      </c>
      <c r="AQ647" t="n">
        <v>0</v>
      </c>
      <c r="AR647" t="inlineStr">
        <is>
          <t>Yes</t>
        </is>
      </c>
      <c r="AS647" t="inlineStr">
        <is>
          <t>No</t>
        </is>
      </c>
      <c r="AT647">
        <f>HYPERLINK("http://catalog.hathitrust.org/Record/001557905","HathiTrust Record")</f>
        <v/>
      </c>
      <c r="AU647">
        <f>HYPERLINK("https://creighton-primo.hosted.exlibrisgroup.com/primo-explore/search?tab=default_tab&amp;search_scope=EVERYTHING&amp;vid=01CRU&amp;lang=en_US&amp;offset=0&amp;query=any,contains,991001543289702656","Catalog Record")</f>
        <v/>
      </c>
      <c r="AV647">
        <f>HYPERLINK("http://www.worldcat.org/oclc/1741266","WorldCat Record")</f>
        <v/>
      </c>
      <c r="AW647" t="inlineStr">
        <is>
          <t>2806195:eng</t>
        </is>
      </c>
      <c r="AX647" t="inlineStr">
        <is>
          <t>1741266</t>
        </is>
      </c>
      <c r="AY647" t="inlineStr">
        <is>
          <t>991001543289702656</t>
        </is>
      </c>
      <c r="AZ647" t="inlineStr">
        <is>
          <t>991001543289702656</t>
        </is>
      </c>
      <c r="BA647" t="inlineStr">
        <is>
          <t>2260604990002656</t>
        </is>
      </c>
      <c r="BB647" t="inlineStr">
        <is>
          <t>BOOK</t>
        </is>
      </c>
      <c r="BE647" t="inlineStr">
        <is>
          <t>30001000636136</t>
        </is>
      </c>
      <c r="BF647" t="inlineStr">
        <is>
          <t>893134703</t>
        </is>
      </c>
    </row>
    <row r="648">
      <c r="A648" t="inlineStr">
        <is>
          <t>No</t>
        </is>
      </c>
      <c r="B648" t="inlineStr">
        <is>
          <t>CUHSL</t>
        </is>
      </c>
      <c r="C648" t="inlineStr">
        <is>
          <t>SHELVES</t>
        </is>
      </c>
      <c r="D648" t="inlineStr">
        <is>
          <t>W64 G876s 2000</t>
        </is>
      </c>
      <c r="E648" t="inlineStr">
        <is>
          <t>0                      W  0064000G  876s        2000</t>
        </is>
      </c>
      <c r="F648" t="inlineStr">
        <is>
          <t>Second opinions : stories of intuition and choice in a changing world of medicine / Jerome Groopman.</t>
        </is>
      </c>
      <c r="H648" t="inlineStr">
        <is>
          <t>No</t>
        </is>
      </c>
      <c r="I648" t="inlineStr">
        <is>
          <t>1</t>
        </is>
      </c>
      <c r="J648" t="inlineStr">
        <is>
          <t>No</t>
        </is>
      </c>
      <c r="K648" t="inlineStr">
        <is>
          <t>Yes</t>
        </is>
      </c>
      <c r="L648" t="inlineStr">
        <is>
          <t>0</t>
        </is>
      </c>
      <c r="M648" t="inlineStr">
        <is>
          <t>Groopman, Jerome E.</t>
        </is>
      </c>
      <c r="N648" t="inlineStr">
        <is>
          <t>New York : Viking, 2000.</t>
        </is>
      </c>
      <c r="O648" t="inlineStr">
        <is>
          <t>2000</t>
        </is>
      </c>
      <c r="Q648" t="inlineStr">
        <is>
          <t>eng</t>
        </is>
      </c>
      <c r="R648" t="inlineStr">
        <is>
          <t>nyu</t>
        </is>
      </c>
      <c r="T648" t="inlineStr">
        <is>
          <t xml:space="preserve">W  </t>
        </is>
      </c>
      <c r="U648" t="n">
        <v>1</v>
      </c>
      <c r="V648" t="n">
        <v>1</v>
      </c>
      <c r="W648" t="inlineStr">
        <is>
          <t>2004-12-14</t>
        </is>
      </c>
      <c r="X648" t="inlineStr">
        <is>
          <t>2004-12-14</t>
        </is>
      </c>
      <c r="Y648" t="inlineStr">
        <is>
          <t>2004-11-03</t>
        </is>
      </c>
      <c r="Z648" t="inlineStr">
        <is>
          <t>2004-11-03</t>
        </is>
      </c>
      <c r="AA648" t="n">
        <v>588</v>
      </c>
      <c r="AB648" t="n">
        <v>552</v>
      </c>
      <c r="AC648" t="n">
        <v>644</v>
      </c>
      <c r="AD648" t="n">
        <v>3</v>
      </c>
      <c r="AE648" t="n">
        <v>4</v>
      </c>
      <c r="AF648" t="n">
        <v>9</v>
      </c>
      <c r="AG648" t="n">
        <v>9</v>
      </c>
      <c r="AH648" t="n">
        <v>3</v>
      </c>
      <c r="AI648" t="n">
        <v>3</v>
      </c>
      <c r="AJ648" t="n">
        <v>3</v>
      </c>
      <c r="AK648" t="n">
        <v>3</v>
      </c>
      <c r="AL648" t="n">
        <v>5</v>
      </c>
      <c r="AM648" t="n">
        <v>5</v>
      </c>
      <c r="AN648" t="n">
        <v>1</v>
      </c>
      <c r="AO648" t="n">
        <v>1</v>
      </c>
      <c r="AP648" t="n">
        <v>0</v>
      </c>
      <c r="AQ648" t="n">
        <v>0</v>
      </c>
      <c r="AR648" t="inlineStr">
        <is>
          <t>No</t>
        </is>
      </c>
      <c r="AS648" t="inlineStr">
        <is>
          <t>No</t>
        </is>
      </c>
      <c r="AU648">
        <f>HYPERLINK("https://creighton-primo.hosted.exlibrisgroup.com/primo-explore/search?tab=default_tab&amp;search_scope=EVERYTHING&amp;vid=01CRU&amp;lang=en_US&amp;offset=0&amp;query=any,contains,991000406679702656","Catalog Record")</f>
        <v/>
      </c>
      <c r="AV648">
        <f>HYPERLINK("http://www.worldcat.org/oclc/41621164","WorldCat Record")</f>
        <v/>
      </c>
      <c r="AW648" t="inlineStr">
        <is>
          <t>1810035636:eng</t>
        </is>
      </c>
      <c r="AX648" t="inlineStr">
        <is>
          <t>41621164</t>
        </is>
      </c>
      <c r="AY648" t="inlineStr">
        <is>
          <t>991000406679702656</t>
        </is>
      </c>
      <c r="AZ648" t="inlineStr">
        <is>
          <t>991000406679702656</t>
        </is>
      </c>
      <c r="BA648" t="inlineStr">
        <is>
          <t>2267978190002656</t>
        </is>
      </c>
      <c r="BB648" t="inlineStr">
        <is>
          <t>BOOK</t>
        </is>
      </c>
      <c r="BD648" t="inlineStr">
        <is>
          <t>9780670888016</t>
        </is>
      </c>
      <c r="BE648" t="inlineStr">
        <is>
          <t>30001004924660</t>
        </is>
      </c>
      <c r="BF648" t="inlineStr">
        <is>
          <t>893275039</t>
        </is>
      </c>
    </row>
    <row r="649">
      <c r="A649" t="inlineStr">
        <is>
          <t>No</t>
        </is>
      </c>
      <c r="B649" t="inlineStr">
        <is>
          <t>CUHSL</t>
        </is>
      </c>
      <c r="C649" t="inlineStr">
        <is>
          <t>SHELVES</t>
        </is>
      </c>
      <c r="D649" t="inlineStr">
        <is>
          <t>W 74 A5117 1984e</t>
        </is>
      </c>
      <c r="E649" t="inlineStr">
        <is>
          <t>0                      W  0074000A  5117        1984e</t>
        </is>
      </c>
      <c r="F649" t="inlineStr">
        <is>
          <t>The economics of health care and nursing : presidential address and papers / 1984 Annual Meeting and Scientific Session ; edited by Gladys E. Sorensen.</t>
        </is>
      </c>
      <c r="H649" t="inlineStr">
        <is>
          <t>No</t>
        </is>
      </c>
      <c r="I649" t="inlineStr">
        <is>
          <t>1</t>
        </is>
      </c>
      <c r="J649" t="inlineStr">
        <is>
          <t>No</t>
        </is>
      </c>
      <c r="K649" t="inlineStr">
        <is>
          <t>No</t>
        </is>
      </c>
      <c r="L649" t="inlineStr">
        <is>
          <t>0</t>
        </is>
      </c>
      <c r="M649" t="inlineStr">
        <is>
          <t>American Academy of Nursing. Meeting (12th : 1984 : Atlanta, Ga.)</t>
        </is>
      </c>
      <c r="N649" t="inlineStr">
        <is>
          <t>Kansas City, Mo. (2420 Pershing Road, Kansas City 64108) : American Academy of Nursing, c1985.</t>
        </is>
      </c>
      <c r="O649" t="inlineStr">
        <is>
          <t>1985</t>
        </is>
      </c>
      <c r="Q649" t="inlineStr">
        <is>
          <t>eng</t>
        </is>
      </c>
      <c r="R649" t="inlineStr">
        <is>
          <t>mou</t>
        </is>
      </c>
      <c r="S649" t="inlineStr">
        <is>
          <t>ANA pub ; no. G-166</t>
        </is>
      </c>
      <c r="T649" t="inlineStr">
        <is>
          <t xml:space="preserve">W  </t>
        </is>
      </c>
      <c r="U649" t="n">
        <v>4</v>
      </c>
      <c r="V649" t="n">
        <v>4</v>
      </c>
      <c r="W649" t="inlineStr">
        <is>
          <t>1998-04-19</t>
        </is>
      </c>
      <c r="X649" t="inlineStr">
        <is>
          <t>1998-04-19</t>
        </is>
      </c>
      <c r="Y649" t="inlineStr">
        <is>
          <t>1989-03-16</t>
        </is>
      </c>
      <c r="Z649" t="inlineStr">
        <is>
          <t>1989-03-16</t>
        </is>
      </c>
      <c r="AA649" t="n">
        <v>112</v>
      </c>
      <c r="AB649" t="n">
        <v>108</v>
      </c>
      <c r="AC649" t="n">
        <v>118</v>
      </c>
      <c r="AD649" t="n">
        <v>3</v>
      </c>
      <c r="AE649" t="n">
        <v>3</v>
      </c>
      <c r="AF649" t="n">
        <v>7</v>
      </c>
      <c r="AG649" t="n">
        <v>7</v>
      </c>
      <c r="AH649" t="n">
        <v>0</v>
      </c>
      <c r="AI649" t="n">
        <v>0</v>
      </c>
      <c r="AJ649" t="n">
        <v>1</v>
      </c>
      <c r="AK649" t="n">
        <v>1</v>
      </c>
      <c r="AL649" t="n">
        <v>6</v>
      </c>
      <c r="AM649" t="n">
        <v>6</v>
      </c>
      <c r="AN649" t="n">
        <v>1</v>
      </c>
      <c r="AO649" t="n">
        <v>1</v>
      </c>
      <c r="AP649" t="n">
        <v>0</v>
      </c>
      <c r="AQ649" t="n">
        <v>0</v>
      </c>
      <c r="AR649" t="inlineStr">
        <is>
          <t>No</t>
        </is>
      </c>
      <c r="AS649" t="inlineStr">
        <is>
          <t>Yes</t>
        </is>
      </c>
      <c r="AT649">
        <f>HYPERLINK("http://catalog.hathitrust.org/Record/000625946","HathiTrust Record")</f>
        <v/>
      </c>
      <c r="AU649">
        <f>HYPERLINK("https://creighton-primo.hosted.exlibrisgroup.com/primo-explore/search?tab=default_tab&amp;search_scope=EVERYTHING&amp;vid=01CRU&amp;lang=en_US&amp;offset=0&amp;query=any,contains,991001241659702656","Catalog Record")</f>
        <v/>
      </c>
      <c r="AV649">
        <f>HYPERLINK("http://www.worldcat.org/oclc/12839463","WorldCat Record")</f>
        <v/>
      </c>
      <c r="AW649" t="inlineStr">
        <is>
          <t>5766761:eng</t>
        </is>
      </c>
      <c r="AX649" t="inlineStr">
        <is>
          <t>12839463</t>
        </is>
      </c>
      <c r="AY649" t="inlineStr">
        <is>
          <t>991001241659702656</t>
        </is>
      </c>
      <c r="AZ649" t="inlineStr">
        <is>
          <t>991001241659702656</t>
        </is>
      </c>
      <c r="BA649" t="inlineStr">
        <is>
          <t>2256934520002656</t>
        </is>
      </c>
      <c r="BB649" t="inlineStr">
        <is>
          <t>BOOK</t>
        </is>
      </c>
      <c r="BE649" t="inlineStr">
        <is>
          <t>30001001675794</t>
        </is>
      </c>
      <c r="BF649" t="inlineStr">
        <is>
          <t>893816235</t>
        </is>
      </c>
    </row>
    <row r="650">
      <c r="A650" t="inlineStr">
        <is>
          <t>No</t>
        </is>
      </c>
      <c r="B650" t="inlineStr">
        <is>
          <t>CUHSL</t>
        </is>
      </c>
      <c r="C650" t="inlineStr">
        <is>
          <t>SHELVES</t>
        </is>
      </c>
      <c r="D650" t="inlineStr">
        <is>
          <t>W74 AA1 F312h 2005</t>
        </is>
      </c>
      <c r="E650" t="inlineStr">
        <is>
          <t>0                      W  0074000AA 1                  F  312h        2005</t>
        </is>
      </c>
      <c r="F650" t="inlineStr">
        <is>
          <t>Health care economics / Paul J. Feldstein.</t>
        </is>
      </c>
      <c r="H650" t="inlineStr">
        <is>
          <t>No</t>
        </is>
      </c>
      <c r="I650" t="inlineStr">
        <is>
          <t>1</t>
        </is>
      </c>
      <c r="J650" t="inlineStr">
        <is>
          <t>No</t>
        </is>
      </c>
      <c r="K650" t="inlineStr">
        <is>
          <t>No</t>
        </is>
      </c>
      <c r="L650" t="inlineStr">
        <is>
          <t>0</t>
        </is>
      </c>
      <c r="M650" t="inlineStr">
        <is>
          <t>Feldstein, Paul J.</t>
        </is>
      </c>
      <c r="N650" t="inlineStr">
        <is>
          <t>Australia ; Clifton Park, NY : Thomson Delmar Learning, c2005.</t>
        </is>
      </c>
      <c r="O650" t="inlineStr">
        <is>
          <t>2005</t>
        </is>
      </c>
      <c r="P650" t="inlineStr">
        <is>
          <t>6th ed.</t>
        </is>
      </c>
      <c r="Q650" t="inlineStr">
        <is>
          <t>eng</t>
        </is>
      </c>
      <c r="R650" t="inlineStr">
        <is>
          <t xml:space="preserve">at </t>
        </is>
      </c>
      <c r="S650" t="inlineStr">
        <is>
          <t>Thomson Delmar learning series in health services administration</t>
        </is>
      </c>
      <c r="T650" t="inlineStr">
        <is>
          <t xml:space="preserve">W  </t>
        </is>
      </c>
      <c r="U650" t="n">
        <v>6</v>
      </c>
      <c r="V650" t="n">
        <v>6</v>
      </c>
      <c r="W650" t="inlineStr">
        <is>
          <t>2010-07-24</t>
        </is>
      </c>
      <c r="X650" t="inlineStr">
        <is>
          <t>2010-07-24</t>
        </is>
      </c>
      <c r="Y650" t="inlineStr">
        <is>
          <t>2004-08-25</t>
        </is>
      </c>
      <c r="Z650" t="inlineStr">
        <is>
          <t>2004-08-25</t>
        </is>
      </c>
      <c r="AA650" t="n">
        <v>227</v>
      </c>
      <c r="AB650" t="n">
        <v>174</v>
      </c>
      <c r="AC650" t="n">
        <v>176</v>
      </c>
      <c r="AD650" t="n">
        <v>1</v>
      </c>
      <c r="AE650" t="n">
        <v>1</v>
      </c>
      <c r="AF650" t="n">
        <v>6</v>
      </c>
      <c r="AG650" t="n">
        <v>6</v>
      </c>
      <c r="AH650" t="n">
        <v>1</v>
      </c>
      <c r="AI650" t="n">
        <v>1</v>
      </c>
      <c r="AJ650" t="n">
        <v>3</v>
      </c>
      <c r="AK650" t="n">
        <v>3</v>
      </c>
      <c r="AL650" t="n">
        <v>3</v>
      </c>
      <c r="AM650" t="n">
        <v>3</v>
      </c>
      <c r="AN650" t="n">
        <v>0</v>
      </c>
      <c r="AO650" t="n">
        <v>0</v>
      </c>
      <c r="AP650" t="n">
        <v>0</v>
      </c>
      <c r="AQ650" t="n">
        <v>0</v>
      </c>
      <c r="AR650" t="inlineStr">
        <is>
          <t>No</t>
        </is>
      </c>
      <c r="AS650" t="inlineStr">
        <is>
          <t>Yes</t>
        </is>
      </c>
      <c r="AT650">
        <f>HYPERLINK("http://catalog.hathitrust.org/Record/005032078","HathiTrust Record")</f>
        <v/>
      </c>
      <c r="AU650">
        <f>HYPERLINK("https://creighton-primo.hosted.exlibrisgroup.com/primo-explore/search?tab=default_tab&amp;search_scope=EVERYTHING&amp;vid=01CRU&amp;lang=en_US&amp;offset=0&amp;query=any,contains,991000377749702656","Catalog Record")</f>
        <v/>
      </c>
      <c r="AV650">
        <f>HYPERLINK("http://www.worldcat.org/oclc/55067784","WorldCat Record")</f>
        <v/>
      </c>
      <c r="AW650" t="inlineStr">
        <is>
          <t>4241365649:eng</t>
        </is>
      </c>
      <c r="AX650" t="inlineStr">
        <is>
          <t>55067784</t>
        </is>
      </c>
      <c r="AY650" t="inlineStr">
        <is>
          <t>991000377749702656</t>
        </is>
      </c>
      <c r="AZ650" t="inlineStr">
        <is>
          <t>991000377749702656</t>
        </is>
      </c>
      <c r="BA650" t="inlineStr">
        <is>
          <t>2265022690002656</t>
        </is>
      </c>
      <c r="BB650" t="inlineStr">
        <is>
          <t>BOOK</t>
        </is>
      </c>
      <c r="BD650" t="inlineStr">
        <is>
          <t>9781401859794</t>
        </is>
      </c>
      <c r="BE650" t="inlineStr">
        <is>
          <t>30001004922094</t>
        </is>
      </c>
      <c r="BF650" t="inlineStr">
        <is>
          <t>893359517</t>
        </is>
      </c>
    </row>
    <row r="651">
      <c r="A651" t="inlineStr">
        <is>
          <t>No</t>
        </is>
      </c>
      <c r="B651" t="inlineStr">
        <is>
          <t>CUHSL</t>
        </is>
      </c>
      <c r="C651" t="inlineStr">
        <is>
          <t>SHELVES</t>
        </is>
      </c>
      <c r="D651" t="inlineStr">
        <is>
          <t>W74 AA1 P538ha 2003</t>
        </is>
      </c>
      <c r="E651" t="inlineStr">
        <is>
          <t>0                      W  0074000AA 1                  P  538ha       2003</t>
        </is>
      </c>
      <c r="F651" t="inlineStr">
        <is>
          <t>Health economics / Charles E. Phelps.</t>
        </is>
      </c>
      <c r="H651" t="inlineStr">
        <is>
          <t>No</t>
        </is>
      </c>
      <c r="I651" t="inlineStr">
        <is>
          <t>1</t>
        </is>
      </c>
      <c r="J651" t="inlineStr">
        <is>
          <t>No</t>
        </is>
      </c>
      <c r="K651" t="inlineStr">
        <is>
          <t>No</t>
        </is>
      </c>
      <c r="L651" t="inlineStr">
        <is>
          <t>0</t>
        </is>
      </c>
      <c r="M651" t="inlineStr">
        <is>
          <t>Phelps, Charles E.</t>
        </is>
      </c>
      <c r="N651" t="inlineStr">
        <is>
          <t>Boston : Addison Wesley, c2003.</t>
        </is>
      </c>
      <c r="O651" t="inlineStr">
        <is>
          <t>2003</t>
        </is>
      </c>
      <c r="P651" t="inlineStr">
        <is>
          <t>3rd ed.</t>
        </is>
      </c>
      <c r="Q651" t="inlineStr">
        <is>
          <t>eng</t>
        </is>
      </c>
      <c r="R651" t="inlineStr">
        <is>
          <t>mau</t>
        </is>
      </c>
      <c r="S651" t="inlineStr">
        <is>
          <t>Addison-Wesley series in economics</t>
        </is>
      </c>
      <c r="T651" t="inlineStr">
        <is>
          <t xml:space="preserve">W  </t>
        </is>
      </c>
      <c r="U651" t="n">
        <v>2</v>
      </c>
      <c r="V651" t="n">
        <v>2</v>
      </c>
      <c r="W651" t="inlineStr">
        <is>
          <t>2005-04-28</t>
        </is>
      </c>
      <c r="X651" t="inlineStr">
        <is>
          <t>2005-04-28</t>
        </is>
      </c>
      <c r="Y651" t="inlineStr">
        <is>
          <t>2003-08-25</t>
        </is>
      </c>
      <c r="Z651" t="inlineStr">
        <is>
          <t>2003-08-25</t>
        </is>
      </c>
      <c r="AA651" t="n">
        <v>147</v>
      </c>
      <c r="AB651" t="n">
        <v>78</v>
      </c>
      <c r="AC651" t="n">
        <v>361</v>
      </c>
      <c r="AD651" t="n">
        <v>1</v>
      </c>
      <c r="AE651" t="n">
        <v>3</v>
      </c>
      <c r="AF651" t="n">
        <v>1</v>
      </c>
      <c r="AG651" t="n">
        <v>10</v>
      </c>
      <c r="AH651" t="n">
        <v>0</v>
      </c>
      <c r="AI651" t="n">
        <v>2</v>
      </c>
      <c r="AJ651" t="n">
        <v>1</v>
      </c>
      <c r="AK651" t="n">
        <v>4</v>
      </c>
      <c r="AL651" t="n">
        <v>1</v>
      </c>
      <c r="AM651" t="n">
        <v>6</v>
      </c>
      <c r="AN651" t="n">
        <v>0</v>
      </c>
      <c r="AO651" t="n">
        <v>2</v>
      </c>
      <c r="AP651" t="n">
        <v>0</v>
      </c>
      <c r="AQ651" t="n">
        <v>0</v>
      </c>
      <c r="AR651" t="inlineStr">
        <is>
          <t>No</t>
        </is>
      </c>
      <c r="AS651" t="inlineStr">
        <is>
          <t>No</t>
        </is>
      </c>
      <c r="AU651">
        <f>HYPERLINK("https://creighton-primo.hosted.exlibrisgroup.com/primo-explore/search?tab=default_tab&amp;search_scope=EVERYTHING&amp;vid=01CRU&amp;lang=en_US&amp;offset=0&amp;query=any,contains,991000355479702656","Catalog Record")</f>
        <v/>
      </c>
      <c r="AV651">
        <f>HYPERLINK("http://www.worldcat.org/oclc/49495068","WorldCat Record")</f>
        <v/>
      </c>
      <c r="AW651" t="inlineStr">
        <is>
          <t>896918:eng</t>
        </is>
      </c>
      <c r="AX651" t="inlineStr">
        <is>
          <t>49495068</t>
        </is>
      </c>
      <c r="AY651" t="inlineStr">
        <is>
          <t>991000355479702656</t>
        </is>
      </c>
      <c r="AZ651" t="inlineStr">
        <is>
          <t>991000355479702656</t>
        </is>
      </c>
      <c r="BA651" t="inlineStr">
        <is>
          <t>2266532660002656</t>
        </is>
      </c>
      <c r="BB651" t="inlineStr">
        <is>
          <t>BOOK</t>
        </is>
      </c>
      <c r="BD651" t="inlineStr">
        <is>
          <t>9780321068989</t>
        </is>
      </c>
      <c r="BE651" t="inlineStr">
        <is>
          <t>30001004505691</t>
        </is>
      </c>
      <c r="BF651" t="inlineStr">
        <is>
          <t>893452060</t>
        </is>
      </c>
    </row>
    <row r="652">
      <c r="A652" t="inlineStr">
        <is>
          <t>No</t>
        </is>
      </c>
      <c r="B652" t="inlineStr">
        <is>
          <t>CUHSL</t>
        </is>
      </c>
      <c r="C652" t="inlineStr">
        <is>
          <t>SHELVES</t>
        </is>
      </c>
      <c r="D652" t="inlineStr">
        <is>
          <t>W 74 B167h 2000</t>
        </is>
      </c>
      <c r="E652" t="inlineStr">
        <is>
          <t>0                      W  0074000B  167h        2000</t>
        </is>
      </c>
      <c r="F652" t="inlineStr">
        <is>
          <t>Health care finance : basic tools for nonfinancial managers / Judith J. Baker, R.W. Baker.</t>
        </is>
      </c>
      <c r="H652" t="inlineStr">
        <is>
          <t>No</t>
        </is>
      </c>
      <c r="I652" t="inlineStr">
        <is>
          <t>1</t>
        </is>
      </c>
      <c r="J652" t="inlineStr">
        <is>
          <t>No</t>
        </is>
      </c>
      <c r="K652" t="inlineStr">
        <is>
          <t>Yes</t>
        </is>
      </c>
      <c r="L652" t="inlineStr">
        <is>
          <t>0</t>
        </is>
      </c>
      <c r="M652" t="inlineStr">
        <is>
          <t>Baker, Judith J.</t>
        </is>
      </c>
      <c r="N652" t="inlineStr">
        <is>
          <t>Gaithersburg, Md. : Aspen, 2000.</t>
        </is>
      </c>
      <c r="O652" t="inlineStr">
        <is>
          <t>2000</t>
        </is>
      </c>
      <c r="Q652" t="inlineStr">
        <is>
          <t>eng</t>
        </is>
      </c>
      <c r="R652" t="inlineStr">
        <is>
          <t>mdu</t>
        </is>
      </c>
      <c r="T652" t="inlineStr">
        <is>
          <t xml:space="preserve">W  </t>
        </is>
      </c>
      <c r="U652" t="n">
        <v>4</v>
      </c>
      <c r="V652" t="n">
        <v>4</v>
      </c>
      <c r="W652" t="inlineStr">
        <is>
          <t>2009-07-20</t>
        </is>
      </c>
      <c r="X652" t="inlineStr">
        <is>
          <t>2009-07-20</t>
        </is>
      </c>
      <c r="Y652" t="inlineStr">
        <is>
          <t>2004-08-27</t>
        </is>
      </c>
      <c r="Z652" t="inlineStr">
        <is>
          <t>2004-08-27</t>
        </is>
      </c>
      <c r="AA652" t="n">
        <v>204</v>
      </c>
      <c r="AB652" t="n">
        <v>193</v>
      </c>
      <c r="AC652" t="n">
        <v>525</v>
      </c>
      <c r="AD652" t="n">
        <v>1</v>
      </c>
      <c r="AE652" t="n">
        <v>4</v>
      </c>
      <c r="AF652" t="n">
        <v>7</v>
      </c>
      <c r="AG652" t="n">
        <v>17</v>
      </c>
      <c r="AH652" t="n">
        <v>4</v>
      </c>
      <c r="AI652" t="n">
        <v>5</v>
      </c>
      <c r="AJ652" t="n">
        <v>1</v>
      </c>
      <c r="AK652" t="n">
        <v>3</v>
      </c>
      <c r="AL652" t="n">
        <v>3</v>
      </c>
      <c r="AM652" t="n">
        <v>8</v>
      </c>
      <c r="AN652" t="n">
        <v>0</v>
      </c>
      <c r="AO652" t="n">
        <v>3</v>
      </c>
      <c r="AP652" t="n">
        <v>0</v>
      </c>
      <c r="AQ652" t="n">
        <v>0</v>
      </c>
      <c r="AR652" t="inlineStr">
        <is>
          <t>No</t>
        </is>
      </c>
      <c r="AS652" t="inlineStr">
        <is>
          <t>Yes</t>
        </is>
      </c>
      <c r="AT652">
        <f>HYPERLINK("http://catalog.hathitrust.org/Record/004598291","HathiTrust Record")</f>
        <v/>
      </c>
      <c r="AU652">
        <f>HYPERLINK("https://creighton-primo.hosted.exlibrisgroup.com/primo-explore/search?tab=default_tab&amp;search_scope=EVERYTHING&amp;vid=01CRU&amp;lang=en_US&amp;offset=0&amp;query=any,contains,991000379739702656","Catalog Record")</f>
        <v/>
      </c>
      <c r="AV652">
        <f>HYPERLINK("http://www.worldcat.org/oclc/41924755","WorldCat Record")</f>
        <v/>
      </c>
      <c r="AW652" t="inlineStr">
        <is>
          <t>758404:eng</t>
        </is>
      </c>
      <c r="AX652" t="inlineStr">
        <is>
          <t>41924755</t>
        </is>
      </c>
      <c r="AY652" t="inlineStr">
        <is>
          <t>991000379739702656</t>
        </is>
      </c>
      <c r="AZ652" t="inlineStr">
        <is>
          <t>991000379739702656</t>
        </is>
      </c>
      <c r="BA652" t="inlineStr">
        <is>
          <t>2272642140002656</t>
        </is>
      </c>
      <c r="BB652" t="inlineStr">
        <is>
          <t>BOOK</t>
        </is>
      </c>
      <c r="BD652" t="inlineStr">
        <is>
          <t>9780834212060</t>
        </is>
      </c>
      <c r="BE652" t="inlineStr">
        <is>
          <t>30001004840064</t>
        </is>
      </c>
      <c r="BF652" t="inlineStr">
        <is>
          <t>893163393</t>
        </is>
      </c>
    </row>
    <row r="653">
      <c r="A653" t="inlineStr">
        <is>
          <t>No</t>
        </is>
      </c>
      <c r="B653" t="inlineStr">
        <is>
          <t>CUHSL</t>
        </is>
      </c>
      <c r="C653" t="inlineStr">
        <is>
          <t>SHELVES</t>
        </is>
      </c>
      <c r="D653" t="inlineStr">
        <is>
          <t>W 74 B818 2000</t>
        </is>
      </c>
      <c r="E653" t="inlineStr">
        <is>
          <t>0                      W  0074000B  818         2000</t>
        </is>
      </c>
      <c r="F653" t="inlineStr">
        <is>
          <t>Branding health services : defining yourself in the marketplace / edited by Gil Bashe, Nancy J. Hicks ; project editor, Amy Ziegenfuss.</t>
        </is>
      </c>
      <c r="H653" t="inlineStr">
        <is>
          <t>No</t>
        </is>
      </c>
      <c r="I653" t="inlineStr">
        <is>
          <t>1</t>
        </is>
      </c>
      <c r="J653" t="inlineStr">
        <is>
          <t>No</t>
        </is>
      </c>
      <c r="K653" t="inlineStr">
        <is>
          <t>No</t>
        </is>
      </c>
      <c r="L653" t="inlineStr">
        <is>
          <t>0</t>
        </is>
      </c>
      <c r="N653" t="inlineStr">
        <is>
          <t>Gaithersburg, Md. : Aspen Publishers, 2000.</t>
        </is>
      </c>
      <c r="O653" t="inlineStr">
        <is>
          <t>2000</t>
        </is>
      </c>
      <c r="Q653" t="inlineStr">
        <is>
          <t>eng</t>
        </is>
      </c>
      <c r="R653" t="inlineStr">
        <is>
          <t>mdu</t>
        </is>
      </c>
      <c r="T653" t="inlineStr">
        <is>
          <t xml:space="preserve">W  </t>
        </is>
      </c>
      <c r="U653" t="n">
        <v>3</v>
      </c>
      <c r="V653" t="n">
        <v>3</v>
      </c>
      <c r="W653" t="inlineStr">
        <is>
          <t>2007-02-27</t>
        </is>
      </c>
      <c r="X653" t="inlineStr">
        <is>
          <t>2007-02-27</t>
        </is>
      </c>
      <c r="Y653" t="inlineStr">
        <is>
          <t>2004-08-27</t>
        </is>
      </c>
      <c r="Z653" t="inlineStr">
        <is>
          <t>2004-08-27</t>
        </is>
      </c>
      <c r="AA653" t="n">
        <v>146</v>
      </c>
      <c r="AB653" t="n">
        <v>125</v>
      </c>
      <c r="AC653" t="n">
        <v>125</v>
      </c>
      <c r="AD653" t="n">
        <v>1</v>
      </c>
      <c r="AE653" t="n">
        <v>1</v>
      </c>
      <c r="AF653" t="n">
        <v>4</v>
      </c>
      <c r="AG653" t="n">
        <v>4</v>
      </c>
      <c r="AH653" t="n">
        <v>0</v>
      </c>
      <c r="AI653" t="n">
        <v>0</v>
      </c>
      <c r="AJ653" t="n">
        <v>2</v>
      </c>
      <c r="AK653" t="n">
        <v>2</v>
      </c>
      <c r="AL653" t="n">
        <v>3</v>
      </c>
      <c r="AM653" t="n">
        <v>3</v>
      </c>
      <c r="AN653" t="n">
        <v>0</v>
      </c>
      <c r="AO653" t="n">
        <v>0</v>
      </c>
      <c r="AP653" t="n">
        <v>0</v>
      </c>
      <c r="AQ653" t="n">
        <v>0</v>
      </c>
      <c r="AR653" t="inlineStr">
        <is>
          <t>No</t>
        </is>
      </c>
      <c r="AS653" t="inlineStr">
        <is>
          <t>No</t>
        </is>
      </c>
      <c r="AU653">
        <f>HYPERLINK("https://creighton-primo.hosted.exlibrisgroup.com/primo-explore/search?tab=default_tab&amp;search_scope=EVERYTHING&amp;vid=01CRU&amp;lang=en_US&amp;offset=0&amp;query=any,contains,991000379249702656","Catalog Record")</f>
        <v/>
      </c>
      <c r="AV653">
        <f>HYPERLINK("http://www.worldcat.org/oclc/42969552","WorldCat Record")</f>
        <v/>
      </c>
      <c r="AW653" t="inlineStr">
        <is>
          <t>27944677:eng</t>
        </is>
      </c>
      <c r="AX653" t="inlineStr">
        <is>
          <t>42969552</t>
        </is>
      </c>
      <c r="AY653" t="inlineStr">
        <is>
          <t>991000379249702656</t>
        </is>
      </c>
      <c r="AZ653" t="inlineStr">
        <is>
          <t>991000379249702656</t>
        </is>
      </c>
      <c r="BA653" t="inlineStr">
        <is>
          <t>2266529070002656</t>
        </is>
      </c>
      <c r="BB653" t="inlineStr">
        <is>
          <t>BOOK</t>
        </is>
      </c>
      <c r="BD653" t="inlineStr">
        <is>
          <t>9780834211759</t>
        </is>
      </c>
      <c r="BE653" t="inlineStr">
        <is>
          <t>30001004840049</t>
        </is>
      </c>
      <c r="BF653" t="inlineStr">
        <is>
          <t>893275014</t>
        </is>
      </c>
    </row>
    <row r="654">
      <c r="A654" t="inlineStr">
        <is>
          <t>No</t>
        </is>
      </c>
      <c r="B654" t="inlineStr">
        <is>
          <t>CUHSL</t>
        </is>
      </c>
      <c r="C654" t="inlineStr">
        <is>
          <t>SHELVES</t>
        </is>
      </c>
      <c r="D654" t="inlineStr">
        <is>
          <t>W 74 B878h 1985</t>
        </is>
      </c>
      <c r="E654" t="inlineStr">
        <is>
          <t>0                      W  0074000B  878h        1985</t>
        </is>
      </c>
      <c r="F654" t="inlineStr">
        <is>
          <t>The high cost of healing : physicians and the health care system / J.H.U. Brown.</t>
        </is>
      </c>
      <c r="H654" t="inlineStr">
        <is>
          <t>No</t>
        </is>
      </c>
      <c r="I654" t="inlineStr">
        <is>
          <t>1</t>
        </is>
      </c>
      <c r="J654" t="inlineStr">
        <is>
          <t>No</t>
        </is>
      </c>
      <c r="K654" t="inlineStr">
        <is>
          <t>No</t>
        </is>
      </c>
      <c r="L654" t="inlineStr">
        <is>
          <t>0</t>
        </is>
      </c>
      <c r="M654" t="inlineStr">
        <is>
          <t>Brown, J. H. U. (Jack Harold Upton), 1918-2004.</t>
        </is>
      </c>
      <c r="N654" t="inlineStr">
        <is>
          <t>New York, N.Y. : Human Sciences Press, c1985.</t>
        </is>
      </c>
      <c r="O654" t="inlineStr">
        <is>
          <t>1985</t>
        </is>
      </c>
      <c r="Q654" t="inlineStr">
        <is>
          <t>eng</t>
        </is>
      </c>
      <c r="R654" t="inlineStr">
        <is>
          <t>xxu</t>
        </is>
      </c>
      <c r="T654" t="inlineStr">
        <is>
          <t xml:space="preserve">W  </t>
        </is>
      </c>
      <c r="U654" t="n">
        <v>6</v>
      </c>
      <c r="V654" t="n">
        <v>6</v>
      </c>
      <c r="W654" t="inlineStr">
        <is>
          <t>1998-04-19</t>
        </is>
      </c>
      <c r="X654" t="inlineStr">
        <is>
          <t>1998-04-19</t>
        </is>
      </c>
      <c r="Y654" t="inlineStr">
        <is>
          <t>1987-12-18</t>
        </is>
      </c>
      <c r="Z654" t="inlineStr">
        <is>
          <t>1987-12-18</t>
        </is>
      </c>
      <c r="AA654" t="n">
        <v>417</v>
      </c>
      <c r="AB654" t="n">
        <v>382</v>
      </c>
      <c r="AC654" t="n">
        <v>390</v>
      </c>
      <c r="AD654" t="n">
        <v>3</v>
      </c>
      <c r="AE654" t="n">
        <v>3</v>
      </c>
      <c r="AF654" t="n">
        <v>16</v>
      </c>
      <c r="AG654" t="n">
        <v>16</v>
      </c>
      <c r="AH654" t="n">
        <v>4</v>
      </c>
      <c r="AI654" t="n">
        <v>4</v>
      </c>
      <c r="AJ654" t="n">
        <v>5</v>
      </c>
      <c r="AK654" t="n">
        <v>5</v>
      </c>
      <c r="AL654" t="n">
        <v>8</v>
      </c>
      <c r="AM654" t="n">
        <v>8</v>
      </c>
      <c r="AN654" t="n">
        <v>2</v>
      </c>
      <c r="AO654" t="n">
        <v>2</v>
      </c>
      <c r="AP654" t="n">
        <v>2</v>
      </c>
      <c r="AQ654" t="n">
        <v>2</v>
      </c>
      <c r="AR654" t="inlineStr">
        <is>
          <t>No</t>
        </is>
      </c>
      <c r="AS654" t="inlineStr">
        <is>
          <t>Yes</t>
        </is>
      </c>
      <c r="AT654">
        <f>HYPERLINK("http://catalog.hathitrust.org/Record/000414759","HathiTrust Record")</f>
        <v/>
      </c>
      <c r="AU654">
        <f>HYPERLINK("https://creighton-primo.hosted.exlibrisgroup.com/primo-explore/search?tab=default_tab&amp;search_scope=EVERYTHING&amp;vid=01CRU&amp;lang=en_US&amp;offset=0&amp;query=any,contains,991001543419702656","Catalog Record")</f>
        <v/>
      </c>
      <c r="AV654">
        <f>HYPERLINK("http://www.worldcat.org/oclc/10799195","WorldCat Record")</f>
        <v/>
      </c>
      <c r="AW654" t="inlineStr">
        <is>
          <t>3801352:eng</t>
        </is>
      </c>
      <c r="AX654" t="inlineStr">
        <is>
          <t>10799195</t>
        </is>
      </c>
      <c r="AY654" t="inlineStr">
        <is>
          <t>991001543419702656</t>
        </is>
      </c>
      <c r="AZ654" t="inlineStr">
        <is>
          <t>991001543419702656</t>
        </is>
      </c>
      <c r="BA654" t="inlineStr">
        <is>
          <t>2268544560002656</t>
        </is>
      </c>
      <c r="BB654" t="inlineStr">
        <is>
          <t>BOOK</t>
        </is>
      </c>
      <c r="BD654" t="inlineStr">
        <is>
          <t>9780898852226</t>
        </is>
      </c>
      <c r="BE654" t="inlineStr">
        <is>
          <t>30001000636185</t>
        </is>
      </c>
      <c r="BF654" t="inlineStr">
        <is>
          <t>893741240</t>
        </is>
      </c>
    </row>
    <row r="655">
      <c r="A655" t="inlineStr">
        <is>
          <t>No</t>
        </is>
      </c>
      <c r="B655" t="inlineStr">
        <is>
          <t>CUHSL</t>
        </is>
      </c>
      <c r="C655" t="inlineStr">
        <is>
          <t>SHELVES</t>
        </is>
      </c>
      <c r="D655" t="inlineStr">
        <is>
          <t>W 74 C1526a 1986</t>
        </is>
      </c>
      <c r="E655" t="inlineStr">
        <is>
          <t>0                      W  0074000C  1526a       1986</t>
        </is>
      </c>
      <c r="F655" t="inlineStr">
        <is>
          <t>America's health care revolution : who lives? who dies? who pays? / by Joseph A. Califano, Jr.</t>
        </is>
      </c>
      <c r="H655" t="inlineStr">
        <is>
          <t>No</t>
        </is>
      </c>
      <c r="I655" t="inlineStr">
        <is>
          <t>1</t>
        </is>
      </c>
      <c r="J655" t="inlineStr">
        <is>
          <t>No</t>
        </is>
      </c>
      <c r="K655" t="inlineStr">
        <is>
          <t>No</t>
        </is>
      </c>
      <c r="L655" t="inlineStr">
        <is>
          <t>0</t>
        </is>
      </c>
      <c r="M655" t="inlineStr">
        <is>
          <t>Califano, Joseph A., Jr., 1931-</t>
        </is>
      </c>
      <c r="N655" t="inlineStr">
        <is>
          <t>New York : Random House, c1986.</t>
        </is>
      </c>
      <c r="O655" t="inlineStr">
        <is>
          <t>1986</t>
        </is>
      </c>
      <c r="Q655" t="inlineStr">
        <is>
          <t>eng</t>
        </is>
      </c>
      <c r="R655" t="inlineStr">
        <is>
          <t>xxu</t>
        </is>
      </c>
      <c r="T655" t="inlineStr">
        <is>
          <t xml:space="preserve">W  </t>
        </is>
      </c>
      <c r="U655" t="n">
        <v>9</v>
      </c>
      <c r="V655" t="n">
        <v>9</v>
      </c>
      <c r="W655" t="inlineStr">
        <is>
          <t>2007-09-27</t>
        </is>
      </c>
      <c r="X655" t="inlineStr">
        <is>
          <t>2007-09-27</t>
        </is>
      </c>
      <c r="Y655" t="inlineStr">
        <is>
          <t>1988-01-20</t>
        </is>
      </c>
      <c r="Z655" t="inlineStr">
        <is>
          <t>1988-01-20</t>
        </is>
      </c>
      <c r="AA655" t="n">
        <v>1147</v>
      </c>
      <c r="AB655" t="n">
        <v>1079</v>
      </c>
      <c r="AC655" t="n">
        <v>1107</v>
      </c>
      <c r="AD655" t="n">
        <v>8</v>
      </c>
      <c r="AE655" t="n">
        <v>8</v>
      </c>
      <c r="AF655" t="n">
        <v>34</v>
      </c>
      <c r="AG655" t="n">
        <v>35</v>
      </c>
      <c r="AH655" t="n">
        <v>11</v>
      </c>
      <c r="AI655" t="n">
        <v>11</v>
      </c>
      <c r="AJ655" t="n">
        <v>6</v>
      </c>
      <c r="AK655" t="n">
        <v>6</v>
      </c>
      <c r="AL655" t="n">
        <v>17</v>
      </c>
      <c r="AM655" t="n">
        <v>17</v>
      </c>
      <c r="AN655" t="n">
        <v>6</v>
      </c>
      <c r="AO655" t="n">
        <v>6</v>
      </c>
      <c r="AP655" t="n">
        <v>1</v>
      </c>
      <c r="AQ655" t="n">
        <v>2</v>
      </c>
      <c r="AR655" t="inlineStr">
        <is>
          <t>No</t>
        </is>
      </c>
      <c r="AS655" t="inlineStr">
        <is>
          <t>Yes</t>
        </is>
      </c>
      <c r="AT655">
        <f>HYPERLINK("http://catalog.hathitrust.org/Record/000360241","HathiTrust Record")</f>
        <v/>
      </c>
      <c r="AU655">
        <f>HYPERLINK("https://creighton-primo.hosted.exlibrisgroup.com/primo-explore/search?tab=default_tab&amp;search_scope=EVERYTHING&amp;vid=01CRU&amp;lang=en_US&amp;offset=0&amp;query=any,contains,991001543509702656","Catalog Record")</f>
        <v/>
      </c>
      <c r="AV655">
        <f>HYPERLINK("http://www.worldcat.org/oclc/12312450","WorldCat Record")</f>
        <v/>
      </c>
      <c r="AW655" t="inlineStr">
        <is>
          <t>4936542:eng</t>
        </is>
      </c>
      <c r="AX655" t="inlineStr">
        <is>
          <t>12312450</t>
        </is>
      </c>
      <c r="AY655" t="inlineStr">
        <is>
          <t>991001543509702656</t>
        </is>
      </c>
      <c r="AZ655" t="inlineStr">
        <is>
          <t>991001543509702656</t>
        </is>
      </c>
      <c r="BA655" t="inlineStr">
        <is>
          <t>2271866560002656</t>
        </is>
      </c>
      <c r="BB655" t="inlineStr">
        <is>
          <t>BOOK</t>
        </is>
      </c>
      <c r="BD655" t="inlineStr">
        <is>
          <t>9780394542911</t>
        </is>
      </c>
      <c r="BE655" t="inlineStr">
        <is>
          <t>30001000636219</t>
        </is>
      </c>
      <c r="BF655" t="inlineStr">
        <is>
          <t>893460696</t>
        </is>
      </c>
    </row>
    <row r="656">
      <c r="A656" t="inlineStr">
        <is>
          <t>No</t>
        </is>
      </c>
      <c r="B656" t="inlineStr">
        <is>
          <t>CUHSL</t>
        </is>
      </c>
      <c r="C656" t="inlineStr">
        <is>
          <t>SHELVES</t>
        </is>
      </c>
      <c r="D656" t="inlineStr">
        <is>
          <t>W 74 C456 1989</t>
        </is>
      </c>
      <c r="E656" t="inlineStr">
        <is>
          <t>0                      W  0074000C  456         1989</t>
        </is>
      </c>
      <c r="F656" t="inlineStr">
        <is>
          <t>The Changing economics of medical technology / Annetine C. Gelijns and Ethan A. Halm, editors ; Committee on Technological Innovation in Medicine, Institute of Medicine.</t>
        </is>
      </c>
      <c r="H656" t="inlineStr">
        <is>
          <t>No</t>
        </is>
      </c>
      <c r="I656" t="inlineStr">
        <is>
          <t>1</t>
        </is>
      </c>
      <c r="J656" t="inlineStr">
        <is>
          <t>No</t>
        </is>
      </c>
      <c r="K656" t="inlineStr">
        <is>
          <t>No</t>
        </is>
      </c>
      <c r="L656" t="inlineStr">
        <is>
          <t>0</t>
        </is>
      </c>
      <c r="N656" t="inlineStr">
        <is>
          <t>Washington, D.C. : National Academy Press, c1991.</t>
        </is>
      </c>
      <c r="O656" t="inlineStr">
        <is>
          <t>1991</t>
        </is>
      </c>
      <c r="Q656" t="inlineStr">
        <is>
          <t>eng</t>
        </is>
      </c>
      <c r="R656" t="inlineStr">
        <is>
          <t>xxu</t>
        </is>
      </c>
      <c r="S656" t="inlineStr">
        <is>
          <t>Medical innovation at the crossroads ; v. 2</t>
        </is>
      </c>
      <c r="T656" t="inlineStr">
        <is>
          <t xml:space="preserve">W  </t>
        </is>
      </c>
      <c r="U656" t="n">
        <v>9</v>
      </c>
      <c r="V656" t="n">
        <v>9</v>
      </c>
      <c r="W656" t="inlineStr">
        <is>
          <t>1998-04-19</t>
        </is>
      </c>
      <c r="X656" t="inlineStr">
        <is>
          <t>1998-04-19</t>
        </is>
      </c>
      <c r="Y656" t="inlineStr">
        <is>
          <t>1992-04-02</t>
        </is>
      </c>
      <c r="Z656" t="inlineStr">
        <is>
          <t>1992-04-02</t>
        </is>
      </c>
      <c r="AA656" t="n">
        <v>257</v>
      </c>
      <c r="AB656" t="n">
        <v>231</v>
      </c>
      <c r="AC656" t="n">
        <v>1106</v>
      </c>
      <c r="AD656" t="n">
        <v>2</v>
      </c>
      <c r="AE656" t="n">
        <v>15</v>
      </c>
      <c r="AF656" t="n">
        <v>11</v>
      </c>
      <c r="AG656" t="n">
        <v>41</v>
      </c>
      <c r="AH656" t="n">
        <v>2</v>
      </c>
      <c r="AI656" t="n">
        <v>11</v>
      </c>
      <c r="AJ656" t="n">
        <v>3</v>
      </c>
      <c r="AK656" t="n">
        <v>10</v>
      </c>
      <c r="AL656" t="n">
        <v>4</v>
      </c>
      <c r="AM656" t="n">
        <v>10</v>
      </c>
      <c r="AN656" t="n">
        <v>1</v>
      </c>
      <c r="AO656" t="n">
        <v>13</v>
      </c>
      <c r="AP656" t="n">
        <v>2</v>
      </c>
      <c r="AQ656" t="n">
        <v>3</v>
      </c>
      <c r="AR656" t="inlineStr">
        <is>
          <t>No</t>
        </is>
      </c>
      <c r="AS656" t="inlineStr">
        <is>
          <t>Yes</t>
        </is>
      </c>
      <c r="AT656">
        <f>HYPERLINK("http://catalog.hathitrust.org/Record/002490896","HathiTrust Record")</f>
        <v/>
      </c>
      <c r="AU656">
        <f>HYPERLINK("https://creighton-primo.hosted.exlibrisgroup.com/primo-explore/search?tab=default_tab&amp;search_scope=EVERYTHING&amp;vid=01CRU&amp;lang=en_US&amp;offset=0&amp;query=any,contains,991001299319702656","Catalog Record")</f>
        <v/>
      </c>
      <c r="AV656">
        <f>HYPERLINK("http://www.worldcat.org/oclc/23654207","WorldCat Record")</f>
        <v/>
      </c>
      <c r="AW656" t="inlineStr">
        <is>
          <t>350320945:eng</t>
        </is>
      </c>
      <c r="AX656" t="inlineStr">
        <is>
          <t>23654207</t>
        </is>
      </c>
      <c r="AY656" t="inlineStr">
        <is>
          <t>991001299319702656</t>
        </is>
      </c>
      <c r="AZ656" t="inlineStr">
        <is>
          <t>991001299319702656</t>
        </is>
      </c>
      <c r="BA656" t="inlineStr">
        <is>
          <t>2255765600002656</t>
        </is>
      </c>
      <c r="BB656" t="inlineStr">
        <is>
          <t>BOOK</t>
        </is>
      </c>
      <c r="BD656" t="inlineStr">
        <is>
          <t>9780309044912</t>
        </is>
      </c>
      <c r="BE656" t="inlineStr">
        <is>
          <t>30001002411231</t>
        </is>
      </c>
      <c r="BF656" t="inlineStr">
        <is>
          <t>893460441</t>
        </is>
      </c>
    </row>
    <row r="657">
      <c r="A657" t="inlineStr">
        <is>
          <t>No</t>
        </is>
      </c>
      <c r="B657" t="inlineStr">
        <is>
          <t>CUHSL</t>
        </is>
      </c>
      <c r="C657" t="inlineStr">
        <is>
          <t>SHELVES</t>
        </is>
      </c>
      <c r="D657" t="inlineStr">
        <is>
          <t>W 74 C7414 1988</t>
        </is>
      </c>
      <c r="E657" t="inlineStr">
        <is>
          <t>0                      W  0074000C  7414        1988</t>
        </is>
      </c>
      <c r="F657" t="inlineStr">
        <is>
          <t>Competition in the health care sector : ten years later / edited by Warren Greenberg.</t>
        </is>
      </c>
      <c r="H657" t="inlineStr">
        <is>
          <t>No</t>
        </is>
      </c>
      <c r="I657" t="inlineStr">
        <is>
          <t>1</t>
        </is>
      </c>
      <c r="J657" t="inlineStr">
        <is>
          <t>No</t>
        </is>
      </c>
      <c r="K657" t="inlineStr">
        <is>
          <t>No</t>
        </is>
      </c>
      <c r="L657" t="inlineStr">
        <is>
          <t>0</t>
        </is>
      </c>
      <c r="N657" t="inlineStr">
        <is>
          <t>Durham : Duke University Press, c1988.</t>
        </is>
      </c>
      <c r="O657" t="inlineStr">
        <is>
          <t>1988</t>
        </is>
      </c>
      <c r="Q657" t="inlineStr">
        <is>
          <t>eng</t>
        </is>
      </c>
      <c r="R657" t="inlineStr">
        <is>
          <t>ctu</t>
        </is>
      </c>
      <c r="T657" t="inlineStr">
        <is>
          <t xml:space="preserve">W  </t>
        </is>
      </c>
      <c r="U657" t="n">
        <v>2</v>
      </c>
      <c r="V657" t="n">
        <v>2</v>
      </c>
      <c r="W657" t="inlineStr">
        <is>
          <t>1989-08-09</t>
        </is>
      </c>
      <c r="X657" t="inlineStr">
        <is>
          <t>1989-08-09</t>
        </is>
      </c>
      <c r="Y657" t="inlineStr">
        <is>
          <t>1989-06-19</t>
        </is>
      </c>
      <c r="Z657" t="inlineStr">
        <is>
          <t>1989-06-19</t>
        </is>
      </c>
      <c r="AA657" t="n">
        <v>156</v>
      </c>
      <c r="AB657" t="n">
        <v>127</v>
      </c>
      <c r="AC657" t="n">
        <v>127</v>
      </c>
      <c r="AD657" t="n">
        <v>1</v>
      </c>
      <c r="AE657" t="n">
        <v>1</v>
      </c>
      <c r="AF657" t="n">
        <v>5</v>
      </c>
      <c r="AG657" t="n">
        <v>5</v>
      </c>
      <c r="AH657" t="n">
        <v>2</v>
      </c>
      <c r="AI657" t="n">
        <v>2</v>
      </c>
      <c r="AJ657" t="n">
        <v>0</v>
      </c>
      <c r="AK657" t="n">
        <v>0</v>
      </c>
      <c r="AL657" t="n">
        <v>2</v>
      </c>
      <c r="AM657" t="n">
        <v>2</v>
      </c>
      <c r="AN657" t="n">
        <v>0</v>
      </c>
      <c r="AO657" t="n">
        <v>0</v>
      </c>
      <c r="AP657" t="n">
        <v>2</v>
      </c>
      <c r="AQ657" t="n">
        <v>2</v>
      </c>
      <c r="AR657" t="inlineStr">
        <is>
          <t>No</t>
        </is>
      </c>
      <c r="AS657" t="inlineStr">
        <is>
          <t>No</t>
        </is>
      </c>
      <c r="AU657">
        <f>HYPERLINK("https://creighton-primo.hosted.exlibrisgroup.com/primo-explore/search?tab=default_tab&amp;search_scope=EVERYTHING&amp;vid=01CRU&amp;lang=en_US&amp;offset=0&amp;query=any,contains,991001250749702656","Catalog Record")</f>
        <v/>
      </c>
      <c r="AV657">
        <f>HYPERLINK("http://www.worldcat.org/oclc/18222914","WorldCat Record")</f>
        <v/>
      </c>
      <c r="AW657" t="inlineStr">
        <is>
          <t>17513454:eng</t>
        </is>
      </c>
      <c r="AX657" t="inlineStr">
        <is>
          <t>18222914</t>
        </is>
      </c>
      <c r="AY657" t="inlineStr">
        <is>
          <t>991001250749702656</t>
        </is>
      </c>
      <c r="AZ657" t="inlineStr">
        <is>
          <t>991001250749702656</t>
        </is>
      </c>
      <c r="BA657" t="inlineStr">
        <is>
          <t>2261571500002656</t>
        </is>
      </c>
      <c r="BB657" t="inlineStr">
        <is>
          <t>BOOK</t>
        </is>
      </c>
      <c r="BD657" t="inlineStr">
        <is>
          <t>9780822308935</t>
        </is>
      </c>
      <c r="BE657" t="inlineStr">
        <is>
          <t>30001001678830</t>
        </is>
      </c>
      <c r="BF657" t="inlineStr">
        <is>
          <t>893821071</t>
        </is>
      </c>
    </row>
    <row r="658">
      <c r="A658" t="inlineStr">
        <is>
          <t>No</t>
        </is>
      </c>
      <c r="B658" t="inlineStr">
        <is>
          <t>CUHSL</t>
        </is>
      </c>
      <c r="C658" t="inlineStr">
        <is>
          <t>SHELVES</t>
        </is>
      </c>
      <c r="D658" t="inlineStr">
        <is>
          <t>W 74 C748e 1973</t>
        </is>
      </c>
      <c r="E658" t="inlineStr">
        <is>
          <t>0                      W  0074000C  748e        1973</t>
        </is>
      </c>
      <c r="F658" t="inlineStr">
        <is>
          <t>The economics of health and medical care : proceedings of a conference held by the International Economic Association at Tokyo / Edited by Mark Perlman.</t>
        </is>
      </c>
      <c r="H658" t="inlineStr">
        <is>
          <t>No</t>
        </is>
      </c>
      <c r="I658" t="inlineStr">
        <is>
          <t>1</t>
        </is>
      </c>
      <c r="J658" t="inlineStr">
        <is>
          <t>No</t>
        </is>
      </c>
      <c r="K658" t="inlineStr">
        <is>
          <t>No</t>
        </is>
      </c>
      <c r="L658" t="inlineStr">
        <is>
          <t>0</t>
        </is>
      </c>
      <c r="M658" t="inlineStr">
        <is>
          <t>Conference on Economics of Health and Medical Care (1973 : Tokyo, Japan)</t>
        </is>
      </c>
      <c r="N658" t="inlineStr">
        <is>
          <t>New York : Wiley, 1974.</t>
        </is>
      </c>
      <c r="O658" t="inlineStr">
        <is>
          <t>1974</t>
        </is>
      </c>
      <c r="Q658" t="inlineStr">
        <is>
          <t>eng</t>
        </is>
      </c>
      <c r="R658" t="inlineStr">
        <is>
          <t>nyu</t>
        </is>
      </c>
      <c r="T658" t="inlineStr">
        <is>
          <t xml:space="preserve">W  </t>
        </is>
      </c>
      <c r="U658" t="n">
        <v>4</v>
      </c>
      <c r="V658" t="n">
        <v>4</v>
      </c>
      <c r="W658" t="inlineStr">
        <is>
          <t>2001-03-25</t>
        </is>
      </c>
      <c r="X658" t="inlineStr">
        <is>
          <t>2001-03-25</t>
        </is>
      </c>
      <c r="Y658" t="inlineStr">
        <is>
          <t>1987-12-19</t>
        </is>
      </c>
      <c r="Z658" t="inlineStr">
        <is>
          <t>1987-12-19</t>
        </is>
      </c>
      <c r="AA658" t="n">
        <v>300</v>
      </c>
      <c r="AB658" t="n">
        <v>250</v>
      </c>
      <c r="AC658" t="n">
        <v>279</v>
      </c>
      <c r="AD658" t="n">
        <v>3</v>
      </c>
      <c r="AE658" t="n">
        <v>3</v>
      </c>
      <c r="AF658" t="n">
        <v>11</v>
      </c>
      <c r="AG658" t="n">
        <v>12</v>
      </c>
      <c r="AH658" t="n">
        <v>3</v>
      </c>
      <c r="AI658" t="n">
        <v>4</v>
      </c>
      <c r="AJ658" t="n">
        <v>5</v>
      </c>
      <c r="AK658" t="n">
        <v>5</v>
      </c>
      <c r="AL658" t="n">
        <v>6</v>
      </c>
      <c r="AM658" t="n">
        <v>7</v>
      </c>
      <c r="AN658" t="n">
        <v>2</v>
      </c>
      <c r="AO658" t="n">
        <v>2</v>
      </c>
      <c r="AP658" t="n">
        <v>0</v>
      </c>
      <c r="AQ658" t="n">
        <v>0</v>
      </c>
      <c r="AR658" t="inlineStr">
        <is>
          <t>No</t>
        </is>
      </c>
      <c r="AS658" t="inlineStr">
        <is>
          <t>Yes</t>
        </is>
      </c>
      <c r="AT658">
        <f>HYPERLINK("http://catalog.hathitrust.org/Record/001558562","HathiTrust Record")</f>
        <v/>
      </c>
      <c r="AU658">
        <f>HYPERLINK("https://creighton-primo.hosted.exlibrisgroup.com/primo-explore/search?tab=default_tab&amp;search_scope=EVERYTHING&amp;vid=01CRU&amp;lang=en_US&amp;offset=0&amp;query=any,contains,991001543439702656","Catalog Record")</f>
        <v/>
      </c>
      <c r="AV658">
        <f>HYPERLINK("http://www.worldcat.org/oclc/762463","WorldCat Record")</f>
        <v/>
      </c>
      <c r="AW658" t="inlineStr">
        <is>
          <t>1639383:eng</t>
        </is>
      </c>
      <c r="AX658" t="inlineStr">
        <is>
          <t>762463</t>
        </is>
      </c>
      <c r="AY658" t="inlineStr">
        <is>
          <t>991001543439702656</t>
        </is>
      </c>
      <c r="AZ658" t="inlineStr">
        <is>
          <t>991001543439702656</t>
        </is>
      </c>
      <c r="BA658" t="inlineStr">
        <is>
          <t>2265208100002656</t>
        </is>
      </c>
      <c r="BB658" t="inlineStr">
        <is>
          <t>BOOK</t>
        </is>
      </c>
      <c r="BD658" t="inlineStr">
        <is>
          <t>9780470680513</t>
        </is>
      </c>
      <c r="BE658" t="inlineStr">
        <is>
          <t>30001000636193</t>
        </is>
      </c>
      <c r="BF658" t="inlineStr">
        <is>
          <t>893134704</t>
        </is>
      </c>
    </row>
    <row r="659">
      <c r="A659" t="inlineStr">
        <is>
          <t>No</t>
        </is>
      </c>
      <c r="B659" t="inlineStr">
        <is>
          <t>CUHSL</t>
        </is>
      </c>
      <c r="C659" t="inlineStr">
        <is>
          <t>SHELVES</t>
        </is>
      </c>
      <c r="D659" t="inlineStr">
        <is>
          <t>W 74 D329k 1943</t>
        </is>
      </c>
      <c r="E659" t="inlineStr">
        <is>
          <t>0                      W  0074000D  329k        1943</t>
        </is>
      </c>
      <c r="F659" t="inlineStr">
        <is>
          <t>Kaiser wakes the doctors / Paul De Kruif.</t>
        </is>
      </c>
      <c r="H659" t="inlineStr">
        <is>
          <t>No</t>
        </is>
      </c>
      <c r="I659" t="inlineStr">
        <is>
          <t>1</t>
        </is>
      </c>
      <c r="J659" t="inlineStr">
        <is>
          <t>No</t>
        </is>
      </c>
      <c r="K659" t="inlineStr">
        <is>
          <t>No</t>
        </is>
      </c>
      <c r="L659" t="inlineStr">
        <is>
          <t>0</t>
        </is>
      </c>
      <c r="M659" t="inlineStr">
        <is>
          <t>De Kruif, Paul, 1890-1971.</t>
        </is>
      </c>
      <c r="N659" t="inlineStr">
        <is>
          <t>New York : Harcourt, Brace, c1943.</t>
        </is>
      </c>
      <c r="O659" t="inlineStr">
        <is>
          <t>1943</t>
        </is>
      </c>
      <c r="Q659" t="inlineStr">
        <is>
          <t>eng</t>
        </is>
      </c>
      <c r="R659" t="inlineStr">
        <is>
          <t>nyu</t>
        </is>
      </c>
      <c r="T659" t="inlineStr">
        <is>
          <t xml:space="preserve">W  </t>
        </is>
      </c>
      <c r="U659" t="n">
        <v>3</v>
      </c>
      <c r="V659" t="n">
        <v>3</v>
      </c>
      <c r="W659" t="inlineStr">
        <is>
          <t>1993-10-09</t>
        </is>
      </c>
      <c r="X659" t="inlineStr">
        <is>
          <t>1993-10-09</t>
        </is>
      </c>
      <c r="Y659" t="inlineStr">
        <is>
          <t>1987-12-19</t>
        </is>
      </c>
      <c r="Z659" t="inlineStr">
        <is>
          <t>1987-12-19</t>
        </is>
      </c>
      <c r="AA659" t="n">
        <v>271</v>
      </c>
      <c r="AB659" t="n">
        <v>250</v>
      </c>
      <c r="AC659" t="n">
        <v>263</v>
      </c>
      <c r="AD659" t="n">
        <v>3</v>
      </c>
      <c r="AE659" t="n">
        <v>3</v>
      </c>
      <c r="AF659" t="n">
        <v>7</v>
      </c>
      <c r="AG659" t="n">
        <v>7</v>
      </c>
      <c r="AH659" t="n">
        <v>1</v>
      </c>
      <c r="AI659" t="n">
        <v>1</v>
      </c>
      <c r="AJ659" t="n">
        <v>1</v>
      </c>
      <c r="AK659" t="n">
        <v>1</v>
      </c>
      <c r="AL659" t="n">
        <v>4</v>
      </c>
      <c r="AM659" t="n">
        <v>4</v>
      </c>
      <c r="AN659" t="n">
        <v>2</v>
      </c>
      <c r="AO659" t="n">
        <v>2</v>
      </c>
      <c r="AP659" t="n">
        <v>0</v>
      </c>
      <c r="AQ659" t="n">
        <v>0</v>
      </c>
      <c r="AR659" t="inlineStr">
        <is>
          <t>No</t>
        </is>
      </c>
      <c r="AS659" t="inlineStr">
        <is>
          <t>Yes</t>
        </is>
      </c>
      <c r="AT659">
        <f>HYPERLINK("http://catalog.hathitrust.org/Record/001558694","HathiTrust Record")</f>
        <v/>
      </c>
      <c r="AU659">
        <f>HYPERLINK("https://creighton-primo.hosted.exlibrisgroup.com/primo-explore/search?tab=default_tab&amp;search_scope=EVERYTHING&amp;vid=01CRU&amp;lang=en_US&amp;offset=0&amp;query=any,contains,991001543469702656","Catalog Record")</f>
        <v/>
      </c>
      <c r="AV659">
        <f>HYPERLINK("http://www.worldcat.org/oclc/812987","WorldCat Record")</f>
        <v/>
      </c>
      <c r="AW659" t="inlineStr">
        <is>
          <t>1660949:eng</t>
        </is>
      </c>
      <c r="AX659" t="inlineStr">
        <is>
          <t>812987</t>
        </is>
      </c>
      <c r="AY659" t="inlineStr">
        <is>
          <t>991001543469702656</t>
        </is>
      </c>
      <c r="AZ659" t="inlineStr">
        <is>
          <t>991001543469702656</t>
        </is>
      </c>
      <c r="BA659" t="inlineStr">
        <is>
          <t>2267529690002656</t>
        </is>
      </c>
      <c r="BB659" t="inlineStr">
        <is>
          <t>BOOK</t>
        </is>
      </c>
      <c r="BE659" t="inlineStr">
        <is>
          <t>30001000636201</t>
        </is>
      </c>
      <c r="BF659" t="inlineStr">
        <is>
          <t>893541492</t>
        </is>
      </c>
    </row>
    <row r="660">
      <c r="A660" t="inlineStr">
        <is>
          <t>No</t>
        </is>
      </c>
      <c r="B660" t="inlineStr">
        <is>
          <t>CUHSL</t>
        </is>
      </c>
      <c r="C660" t="inlineStr">
        <is>
          <t>SHELVES</t>
        </is>
      </c>
      <c r="D660" t="inlineStr">
        <is>
          <t>W 74 D795m 1987</t>
        </is>
      </c>
      <c r="E660" t="inlineStr">
        <is>
          <t>0                      W  0074000D  795m        1987</t>
        </is>
      </c>
      <c r="F660" t="inlineStr">
        <is>
          <t>Methods for the economic evaluation of health care programmes / Michael F. Drummond, Greg L. Stoddart, George W. Torrance.</t>
        </is>
      </c>
      <c r="H660" t="inlineStr">
        <is>
          <t>No</t>
        </is>
      </c>
      <c r="I660" t="inlineStr">
        <is>
          <t>1</t>
        </is>
      </c>
      <c r="J660" t="inlineStr">
        <is>
          <t>No</t>
        </is>
      </c>
      <c r="K660" t="inlineStr">
        <is>
          <t>Yes</t>
        </is>
      </c>
      <c r="L660" t="inlineStr">
        <is>
          <t>0</t>
        </is>
      </c>
      <c r="M660" t="inlineStr">
        <is>
          <t>Drummond, Michael.</t>
        </is>
      </c>
      <c r="N660" t="inlineStr">
        <is>
          <t>Oxford [Oxfordshire] ; New York : Oxford University Press, 1993 reprint, c1987.</t>
        </is>
      </c>
      <c r="O660" t="inlineStr">
        <is>
          <t>1987</t>
        </is>
      </c>
      <c r="Q660" t="inlineStr">
        <is>
          <t>eng</t>
        </is>
      </c>
      <c r="R660" t="inlineStr">
        <is>
          <t>enk</t>
        </is>
      </c>
      <c r="S660" t="inlineStr">
        <is>
          <t>Oxford medical publications</t>
        </is>
      </c>
      <c r="T660" t="inlineStr">
        <is>
          <t xml:space="preserve">W  </t>
        </is>
      </c>
      <c r="U660" t="n">
        <v>4</v>
      </c>
      <c r="V660" t="n">
        <v>4</v>
      </c>
      <c r="W660" t="inlineStr">
        <is>
          <t>2003-12-03</t>
        </is>
      </c>
      <c r="X660" t="inlineStr">
        <is>
          <t>2003-12-03</t>
        </is>
      </c>
      <c r="Y660" t="inlineStr">
        <is>
          <t>1995-08-25</t>
        </is>
      </c>
      <c r="Z660" t="inlineStr">
        <is>
          <t>1995-08-25</t>
        </is>
      </c>
      <c r="AA660" t="n">
        <v>298</v>
      </c>
      <c r="AB660" t="n">
        <v>166</v>
      </c>
      <c r="AC660" t="n">
        <v>701</v>
      </c>
      <c r="AD660" t="n">
        <v>3</v>
      </c>
      <c r="AE660" t="n">
        <v>8</v>
      </c>
      <c r="AF660" t="n">
        <v>7</v>
      </c>
      <c r="AG660" t="n">
        <v>34</v>
      </c>
      <c r="AH660" t="n">
        <v>2</v>
      </c>
      <c r="AI660" t="n">
        <v>12</v>
      </c>
      <c r="AJ660" t="n">
        <v>1</v>
      </c>
      <c r="AK660" t="n">
        <v>9</v>
      </c>
      <c r="AL660" t="n">
        <v>3</v>
      </c>
      <c r="AM660" t="n">
        <v>12</v>
      </c>
      <c r="AN660" t="n">
        <v>2</v>
      </c>
      <c r="AO660" t="n">
        <v>6</v>
      </c>
      <c r="AP660" t="n">
        <v>0</v>
      </c>
      <c r="AQ660" t="n">
        <v>2</v>
      </c>
      <c r="AR660" t="inlineStr">
        <is>
          <t>No</t>
        </is>
      </c>
      <c r="AS660" t="inlineStr">
        <is>
          <t>No</t>
        </is>
      </c>
      <c r="AU660">
        <f>HYPERLINK("https://creighton-primo.hosted.exlibrisgroup.com/primo-explore/search?tab=default_tab&amp;search_scope=EVERYTHING&amp;vid=01CRU&amp;lang=en_US&amp;offset=0&amp;query=any,contains,991001405059702656","Catalog Record")</f>
        <v/>
      </c>
      <c r="AV660">
        <f>HYPERLINK("http://www.worldcat.org/oclc/14214255","WorldCat Record")</f>
        <v/>
      </c>
      <c r="AW660" t="inlineStr">
        <is>
          <t>56159098:eng</t>
        </is>
      </c>
      <c r="AX660" t="inlineStr">
        <is>
          <t>14214255</t>
        </is>
      </c>
      <c r="AY660" t="inlineStr">
        <is>
          <t>991001405059702656</t>
        </is>
      </c>
      <c r="AZ660" t="inlineStr">
        <is>
          <t>991001405059702656</t>
        </is>
      </c>
      <c r="BA660" t="inlineStr">
        <is>
          <t>2269241780002656</t>
        </is>
      </c>
      <c r="BB660" t="inlineStr">
        <is>
          <t>BOOK</t>
        </is>
      </c>
      <c r="BD660" t="inlineStr">
        <is>
          <t>9780192616012</t>
        </is>
      </c>
      <c r="BE660" t="inlineStr">
        <is>
          <t>30001003149780</t>
        </is>
      </c>
      <c r="BF660" t="inlineStr">
        <is>
          <t>893121462</t>
        </is>
      </c>
    </row>
    <row r="661">
      <c r="A661" t="inlineStr">
        <is>
          <t>No</t>
        </is>
      </c>
      <c r="B661" t="inlineStr">
        <is>
          <t>CUHSL</t>
        </is>
      </c>
      <c r="C661" t="inlineStr">
        <is>
          <t>SHELVES</t>
        </is>
      </c>
      <c r="D661" t="inlineStr">
        <is>
          <t>W 74 E135ha 1998</t>
        </is>
      </c>
      <c r="E661" t="inlineStr">
        <is>
          <t>0                      W  0074000E  135ha       1998</t>
        </is>
      </c>
      <c r="F661" t="inlineStr">
        <is>
          <t>Health care finance : cost, productivity &amp; strategic design / Steven R. Eastaugh.</t>
        </is>
      </c>
      <c r="H661" t="inlineStr">
        <is>
          <t>No</t>
        </is>
      </c>
      <c r="I661" t="inlineStr">
        <is>
          <t>1</t>
        </is>
      </c>
      <c r="J661" t="inlineStr">
        <is>
          <t>No</t>
        </is>
      </c>
      <c r="K661" t="inlineStr">
        <is>
          <t>No</t>
        </is>
      </c>
      <c r="L661" t="inlineStr">
        <is>
          <t>0</t>
        </is>
      </c>
      <c r="M661" t="inlineStr">
        <is>
          <t>Eastaugh, Steven R., 1952-</t>
        </is>
      </c>
      <c r="N661" t="inlineStr">
        <is>
          <t>Gaithersburg, Md. : Aspen Publishers, 1998.</t>
        </is>
      </c>
      <c r="O661" t="inlineStr">
        <is>
          <t>1998</t>
        </is>
      </c>
      <c r="Q661" t="inlineStr">
        <is>
          <t>eng</t>
        </is>
      </c>
      <c r="R661" t="inlineStr">
        <is>
          <t>mdu</t>
        </is>
      </c>
      <c r="T661" t="inlineStr">
        <is>
          <t xml:space="preserve">W  </t>
        </is>
      </c>
      <c r="U661" t="n">
        <v>3</v>
      </c>
      <c r="V661" t="n">
        <v>3</v>
      </c>
      <c r="W661" t="inlineStr">
        <is>
          <t>2007-11-27</t>
        </is>
      </c>
      <c r="X661" t="inlineStr">
        <is>
          <t>2007-11-27</t>
        </is>
      </c>
      <c r="Y661" t="inlineStr">
        <is>
          <t>2004-09-24</t>
        </is>
      </c>
      <c r="Z661" t="inlineStr">
        <is>
          <t>2004-09-24</t>
        </is>
      </c>
      <c r="AA661" t="n">
        <v>203</v>
      </c>
      <c r="AB661" t="n">
        <v>187</v>
      </c>
      <c r="AC661" t="n">
        <v>187</v>
      </c>
      <c r="AD661" t="n">
        <v>2</v>
      </c>
      <c r="AE661" t="n">
        <v>2</v>
      </c>
      <c r="AF661" t="n">
        <v>8</v>
      </c>
      <c r="AG661" t="n">
        <v>8</v>
      </c>
      <c r="AH661" t="n">
        <v>0</v>
      </c>
      <c r="AI661" t="n">
        <v>0</v>
      </c>
      <c r="AJ661" t="n">
        <v>3</v>
      </c>
      <c r="AK661" t="n">
        <v>3</v>
      </c>
      <c r="AL661" t="n">
        <v>6</v>
      </c>
      <c r="AM661" t="n">
        <v>6</v>
      </c>
      <c r="AN661" t="n">
        <v>1</v>
      </c>
      <c r="AO661" t="n">
        <v>1</v>
      </c>
      <c r="AP661" t="n">
        <v>0</v>
      </c>
      <c r="AQ661" t="n">
        <v>0</v>
      </c>
      <c r="AR661" t="inlineStr">
        <is>
          <t>No</t>
        </is>
      </c>
      <c r="AS661" t="inlineStr">
        <is>
          <t>No</t>
        </is>
      </c>
      <c r="AU661">
        <f>HYPERLINK("https://creighton-primo.hosted.exlibrisgroup.com/primo-explore/search?tab=default_tab&amp;search_scope=EVERYTHING&amp;vid=01CRU&amp;lang=en_US&amp;offset=0&amp;query=any,contains,991000396979702656","Catalog Record")</f>
        <v/>
      </c>
      <c r="AV661">
        <f>HYPERLINK("http://www.worldcat.org/oclc/39123596","WorldCat Record")</f>
        <v/>
      </c>
      <c r="AW661" t="inlineStr">
        <is>
          <t>42032956:eng</t>
        </is>
      </c>
      <c r="AX661" t="inlineStr">
        <is>
          <t>39123596</t>
        </is>
      </c>
      <c r="AY661" t="inlineStr">
        <is>
          <t>991000396979702656</t>
        </is>
      </c>
      <c r="AZ661" t="inlineStr">
        <is>
          <t>991000396979702656</t>
        </is>
      </c>
      <c r="BA661" t="inlineStr">
        <is>
          <t>2263116170002656</t>
        </is>
      </c>
      <c r="BB661" t="inlineStr">
        <is>
          <t>BOOK</t>
        </is>
      </c>
      <c r="BD661" t="inlineStr">
        <is>
          <t>9780834211810</t>
        </is>
      </c>
      <c r="BE661" t="inlineStr">
        <is>
          <t>30001004978955</t>
        </is>
      </c>
      <c r="BF661" t="inlineStr">
        <is>
          <t>893461456</t>
        </is>
      </c>
    </row>
    <row r="662">
      <c r="A662" t="inlineStr">
        <is>
          <t>No</t>
        </is>
      </c>
      <c r="B662" t="inlineStr">
        <is>
          <t>CUHSL</t>
        </is>
      </c>
      <c r="C662" t="inlineStr">
        <is>
          <t>SHELVES</t>
        </is>
      </c>
      <c r="D662" t="inlineStr">
        <is>
          <t>W 74 E1728 2001</t>
        </is>
      </c>
      <c r="E662" t="inlineStr">
        <is>
          <t>0                      W  0074000E  1728        2001</t>
        </is>
      </c>
      <c r="F662" t="inlineStr">
        <is>
          <t>Economic evaluation in health care : merging theory with practice / Michael Drummond, Alistair McGuire.</t>
        </is>
      </c>
      <c r="H662" t="inlineStr">
        <is>
          <t>No</t>
        </is>
      </c>
      <c r="I662" t="inlineStr">
        <is>
          <t>1</t>
        </is>
      </c>
      <c r="J662" t="inlineStr">
        <is>
          <t>No</t>
        </is>
      </c>
      <c r="K662" t="inlineStr">
        <is>
          <t>No</t>
        </is>
      </c>
      <c r="L662" t="inlineStr">
        <is>
          <t>0</t>
        </is>
      </c>
      <c r="M662" t="inlineStr">
        <is>
          <t>Drummond, Michael</t>
        </is>
      </c>
      <c r="N662" t="inlineStr">
        <is>
          <t>Oxford ; New York : Oxford University Press, 2001.</t>
        </is>
      </c>
      <c r="O662" t="inlineStr">
        <is>
          <t>2001</t>
        </is>
      </c>
      <c r="Q662" t="inlineStr">
        <is>
          <t>eng</t>
        </is>
      </c>
      <c r="R662" t="inlineStr">
        <is>
          <t>enk</t>
        </is>
      </c>
      <c r="T662" t="inlineStr">
        <is>
          <t xml:space="preserve">W  </t>
        </is>
      </c>
      <c r="U662" t="n">
        <v>4</v>
      </c>
      <c r="V662" t="n">
        <v>4</v>
      </c>
      <c r="W662" t="inlineStr">
        <is>
          <t>2007-11-27</t>
        </is>
      </c>
      <c r="X662" t="inlineStr">
        <is>
          <t>2007-11-27</t>
        </is>
      </c>
      <c r="Y662" t="inlineStr">
        <is>
          <t>2003-10-17</t>
        </is>
      </c>
      <c r="Z662" t="inlineStr">
        <is>
          <t>2003-10-17</t>
        </is>
      </c>
      <c r="AA662" t="n">
        <v>225</v>
      </c>
      <c r="AB662" t="n">
        <v>110</v>
      </c>
      <c r="AC662" t="n">
        <v>115</v>
      </c>
      <c r="AD662" t="n">
        <v>2</v>
      </c>
      <c r="AE662" t="n">
        <v>2</v>
      </c>
      <c r="AF662" t="n">
        <v>2</v>
      </c>
      <c r="AG662" t="n">
        <v>2</v>
      </c>
      <c r="AH662" t="n">
        <v>0</v>
      </c>
      <c r="AI662" t="n">
        <v>0</v>
      </c>
      <c r="AJ662" t="n">
        <v>1</v>
      </c>
      <c r="AK662" t="n">
        <v>1</v>
      </c>
      <c r="AL662" t="n">
        <v>0</v>
      </c>
      <c r="AM662" t="n">
        <v>0</v>
      </c>
      <c r="AN662" t="n">
        <v>1</v>
      </c>
      <c r="AO662" t="n">
        <v>1</v>
      </c>
      <c r="AP662" t="n">
        <v>0</v>
      </c>
      <c r="AQ662" t="n">
        <v>0</v>
      </c>
      <c r="AR662" t="inlineStr">
        <is>
          <t>No</t>
        </is>
      </c>
      <c r="AS662" t="inlineStr">
        <is>
          <t>No</t>
        </is>
      </c>
      <c r="AU662">
        <f>HYPERLINK("https://creighton-primo.hosted.exlibrisgroup.com/primo-explore/search?tab=default_tab&amp;search_scope=EVERYTHING&amp;vid=01CRU&amp;lang=en_US&amp;offset=0&amp;query=any,contains,991000358749702656","Catalog Record")</f>
        <v/>
      </c>
      <c r="AV662">
        <f>HYPERLINK("http://www.worldcat.org/oclc/47013207","WorldCat Record")</f>
        <v/>
      </c>
      <c r="AW662" t="inlineStr">
        <is>
          <t>364091543:eng</t>
        </is>
      </c>
      <c r="AX662" t="inlineStr">
        <is>
          <t>47013207</t>
        </is>
      </c>
      <c r="AY662" t="inlineStr">
        <is>
          <t>991000358749702656</t>
        </is>
      </c>
      <c r="AZ662" t="inlineStr">
        <is>
          <t>991000358749702656</t>
        </is>
      </c>
      <c r="BA662" t="inlineStr">
        <is>
          <t>2254715250002656</t>
        </is>
      </c>
      <c r="BB662" t="inlineStr">
        <is>
          <t>BOOK</t>
        </is>
      </c>
      <c r="BD662" t="inlineStr">
        <is>
          <t>9780192631763</t>
        </is>
      </c>
      <c r="BE662" t="inlineStr">
        <is>
          <t>30001004218055</t>
        </is>
      </c>
      <c r="BF662" t="inlineStr">
        <is>
          <t>893811431</t>
        </is>
      </c>
    </row>
    <row r="663">
      <c r="A663" t="inlineStr">
        <is>
          <t>No</t>
        </is>
      </c>
      <c r="B663" t="inlineStr">
        <is>
          <t>CUHSL</t>
        </is>
      </c>
      <c r="C663" t="inlineStr">
        <is>
          <t>SHELVES</t>
        </is>
      </c>
      <c r="D663" t="inlineStr">
        <is>
          <t>W 74 E177 1981</t>
        </is>
      </c>
      <c r="E663" t="inlineStr">
        <is>
          <t>0                      W  0074000E  177         1981</t>
        </is>
      </c>
      <c r="F663" t="inlineStr">
        <is>
          <t>Economics and health care / edited by John B. McKinlay.</t>
        </is>
      </c>
      <c r="H663" t="inlineStr">
        <is>
          <t>No</t>
        </is>
      </c>
      <c r="I663" t="inlineStr">
        <is>
          <t>1</t>
        </is>
      </c>
      <c r="J663" t="inlineStr">
        <is>
          <t>No</t>
        </is>
      </c>
      <c r="K663" t="inlineStr">
        <is>
          <t>No</t>
        </is>
      </c>
      <c r="L663" t="inlineStr">
        <is>
          <t>0</t>
        </is>
      </c>
      <c r="N663" t="inlineStr">
        <is>
          <t>Cambridge, Mass. : MIT Press, c1981.</t>
        </is>
      </c>
      <c r="O663" t="inlineStr">
        <is>
          <t>1981</t>
        </is>
      </c>
      <c r="Q663" t="inlineStr">
        <is>
          <t>eng</t>
        </is>
      </c>
      <c r="R663" t="inlineStr">
        <is>
          <t>mau</t>
        </is>
      </c>
      <c r="S663" t="inlineStr">
        <is>
          <t>Milbank reader ; 1</t>
        </is>
      </c>
      <c r="T663" t="inlineStr">
        <is>
          <t xml:space="preserve">W  </t>
        </is>
      </c>
      <c r="U663" t="n">
        <v>5</v>
      </c>
      <c r="V663" t="n">
        <v>5</v>
      </c>
      <c r="W663" t="inlineStr">
        <is>
          <t>2007-09-27</t>
        </is>
      </c>
      <c r="X663" t="inlineStr">
        <is>
          <t>2007-09-27</t>
        </is>
      </c>
      <c r="Y663" t="inlineStr">
        <is>
          <t>1987-12-19</t>
        </is>
      </c>
      <c r="Z663" t="inlineStr">
        <is>
          <t>1987-12-19</t>
        </is>
      </c>
      <c r="AA663" t="n">
        <v>224</v>
      </c>
      <c r="AB663" t="n">
        <v>181</v>
      </c>
      <c r="AC663" t="n">
        <v>188</v>
      </c>
      <c r="AD663" t="n">
        <v>1</v>
      </c>
      <c r="AE663" t="n">
        <v>1</v>
      </c>
      <c r="AF663" t="n">
        <v>6</v>
      </c>
      <c r="AG663" t="n">
        <v>6</v>
      </c>
      <c r="AH663" t="n">
        <v>3</v>
      </c>
      <c r="AI663" t="n">
        <v>3</v>
      </c>
      <c r="AJ663" t="n">
        <v>3</v>
      </c>
      <c r="AK663" t="n">
        <v>3</v>
      </c>
      <c r="AL663" t="n">
        <v>0</v>
      </c>
      <c r="AM663" t="n">
        <v>0</v>
      </c>
      <c r="AN663" t="n">
        <v>0</v>
      </c>
      <c r="AO663" t="n">
        <v>0</v>
      </c>
      <c r="AP663" t="n">
        <v>1</v>
      </c>
      <c r="AQ663" t="n">
        <v>1</v>
      </c>
      <c r="AR663" t="inlineStr">
        <is>
          <t>No</t>
        </is>
      </c>
      <c r="AS663" t="inlineStr">
        <is>
          <t>Yes</t>
        </is>
      </c>
      <c r="AT663">
        <f>HYPERLINK("http://catalog.hathitrust.org/Record/000104827","HathiTrust Record")</f>
        <v/>
      </c>
      <c r="AU663">
        <f>HYPERLINK("https://creighton-primo.hosted.exlibrisgroup.com/primo-explore/search?tab=default_tab&amp;search_scope=EVERYTHING&amp;vid=01CRU&amp;lang=en_US&amp;offset=0&amp;query=any,contains,991001543549702656","Catalog Record")</f>
        <v/>
      </c>
      <c r="AV663">
        <f>HYPERLINK("http://www.worldcat.org/oclc/7732654","WorldCat Record")</f>
        <v/>
      </c>
      <c r="AW663" t="inlineStr">
        <is>
          <t>54456129:eng</t>
        </is>
      </c>
      <c r="AX663" t="inlineStr">
        <is>
          <t>7732654</t>
        </is>
      </c>
      <c r="AY663" t="inlineStr">
        <is>
          <t>991001543549702656</t>
        </is>
      </c>
      <c r="AZ663" t="inlineStr">
        <is>
          <t>991001543549702656</t>
        </is>
      </c>
      <c r="BA663" t="inlineStr">
        <is>
          <t>2270572760002656</t>
        </is>
      </c>
      <c r="BB663" t="inlineStr">
        <is>
          <t>BOOK</t>
        </is>
      </c>
      <c r="BD663" t="inlineStr">
        <is>
          <t>9780262131766</t>
        </is>
      </c>
      <c r="BE663" t="inlineStr">
        <is>
          <t>30001000636227</t>
        </is>
      </c>
      <c r="BF663" t="inlineStr">
        <is>
          <t>893826851</t>
        </is>
      </c>
    </row>
    <row r="664">
      <c r="A664" t="inlineStr">
        <is>
          <t>No</t>
        </is>
      </c>
      <c r="B664" t="inlineStr">
        <is>
          <t>CUHSL</t>
        </is>
      </c>
      <c r="C664" t="inlineStr">
        <is>
          <t>SHELVES</t>
        </is>
      </c>
      <c r="D664" t="inlineStr">
        <is>
          <t>W 74 F312h 1988</t>
        </is>
      </c>
      <c r="E664" t="inlineStr">
        <is>
          <t>0                      W  0074000F  312h        1988</t>
        </is>
      </c>
      <c r="F664" t="inlineStr">
        <is>
          <t>Health care economics / Paul J. Feldstein.</t>
        </is>
      </c>
      <c r="H664" t="inlineStr">
        <is>
          <t>No</t>
        </is>
      </c>
      <c r="I664" t="inlineStr">
        <is>
          <t>1</t>
        </is>
      </c>
      <c r="J664" t="inlineStr">
        <is>
          <t>No</t>
        </is>
      </c>
      <c r="K664" t="inlineStr">
        <is>
          <t>Yes</t>
        </is>
      </c>
      <c r="L664" t="inlineStr">
        <is>
          <t>0</t>
        </is>
      </c>
      <c r="M664" t="inlineStr">
        <is>
          <t>Feldstein, Paul J.</t>
        </is>
      </c>
      <c r="N664" t="inlineStr">
        <is>
          <t>Albany, N.Y. : Delmar Publishers, c1988.</t>
        </is>
      </c>
      <c r="O664" t="inlineStr">
        <is>
          <t>1988</t>
        </is>
      </c>
      <c r="P664" t="inlineStr">
        <is>
          <t>3rd ed.</t>
        </is>
      </c>
      <c r="Q664" t="inlineStr">
        <is>
          <t>eng</t>
        </is>
      </c>
      <c r="R664" t="inlineStr">
        <is>
          <t>nyu</t>
        </is>
      </c>
      <c r="T664" t="inlineStr">
        <is>
          <t xml:space="preserve">W  </t>
        </is>
      </c>
      <c r="U664" t="n">
        <v>11</v>
      </c>
      <c r="V664" t="n">
        <v>11</v>
      </c>
      <c r="W664" t="inlineStr">
        <is>
          <t>2002-07-30</t>
        </is>
      </c>
      <c r="X664" t="inlineStr">
        <is>
          <t>2002-07-30</t>
        </is>
      </c>
      <c r="Y664" t="inlineStr">
        <is>
          <t>1992-06-26</t>
        </is>
      </c>
      <c r="Z664" t="inlineStr">
        <is>
          <t>1992-06-26</t>
        </is>
      </c>
      <c r="AA664" t="n">
        <v>35</v>
      </c>
      <c r="AB664" t="n">
        <v>24</v>
      </c>
      <c r="AC664" t="n">
        <v>781</v>
      </c>
      <c r="AD664" t="n">
        <v>1</v>
      </c>
      <c r="AE664" t="n">
        <v>7</v>
      </c>
      <c r="AF664" t="n">
        <v>1</v>
      </c>
      <c r="AG664" t="n">
        <v>38</v>
      </c>
      <c r="AH664" t="n">
        <v>1</v>
      </c>
      <c r="AI664" t="n">
        <v>12</v>
      </c>
      <c r="AJ664" t="n">
        <v>0</v>
      </c>
      <c r="AK664" t="n">
        <v>8</v>
      </c>
      <c r="AL664" t="n">
        <v>0</v>
      </c>
      <c r="AM664" t="n">
        <v>18</v>
      </c>
      <c r="AN664" t="n">
        <v>0</v>
      </c>
      <c r="AO664" t="n">
        <v>5</v>
      </c>
      <c r="AP664" t="n">
        <v>0</v>
      </c>
      <c r="AQ664" t="n">
        <v>3</v>
      </c>
      <c r="AR664" t="inlineStr">
        <is>
          <t>No</t>
        </is>
      </c>
      <c r="AS664" t="inlineStr">
        <is>
          <t>Yes</t>
        </is>
      </c>
      <c r="AT664">
        <f>HYPERLINK("http://catalog.hathitrust.org/Record/007065714","HathiTrust Record")</f>
        <v/>
      </c>
      <c r="AU664">
        <f>HYPERLINK("https://creighton-primo.hosted.exlibrisgroup.com/primo-explore/search?tab=default_tab&amp;search_scope=EVERYTHING&amp;vid=01CRU&amp;lang=en_US&amp;offset=0&amp;query=any,contains,991001307149702656","Catalog Record")</f>
        <v/>
      </c>
      <c r="AV664">
        <f>HYPERLINK("http://www.worldcat.org/oclc/22253400","WorldCat Record")</f>
        <v/>
      </c>
      <c r="AW664" t="inlineStr">
        <is>
          <t>15074515:eng</t>
        </is>
      </c>
      <c r="AX664" t="inlineStr">
        <is>
          <t>22253400</t>
        </is>
      </c>
      <c r="AY664" t="inlineStr">
        <is>
          <t>991001307149702656</t>
        </is>
      </c>
      <c r="AZ664" t="inlineStr">
        <is>
          <t>991001307149702656</t>
        </is>
      </c>
      <c r="BA664" t="inlineStr">
        <is>
          <t>2266170340002656</t>
        </is>
      </c>
      <c r="BB664" t="inlineStr">
        <is>
          <t>BOOK</t>
        </is>
      </c>
      <c r="BD664" t="inlineStr">
        <is>
          <t>9780827342347</t>
        </is>
      </c>
      <c r="BE664" t="inlineStr">
        <is>
          <t>30001002414136</t>
        </is>
      </c>
      <c r="BF664" t="inlineStr">
        <is>
          <t>893460445</t>
        </is>
      </c>
    </row>
    <row r="665">
      <c r="A665" t="inlineStr">
        <is>
          <t>No</t>
        </is>
      </c>
      <c r="B665" t="inlineStr">
        <is>
          <t>CUHSL</t>
        </is>
      </c>
      <c r="C665" t="inlineStr">
        <is>
          <t>SHELVES</t>
        </is>
      </c>
      <c r="D665" t="inlineStr">
        <is>
          <t>W 74 F312p 1988</t>
        </is>
      </c>
      <c r="E665" t="inlineStr">
        <is>
          <t>0                      W  0074000F  312p        1988</t>
        </is>
      </c>
      <c r="F665" t="inlineStr">
        <is>
          <t>The politics of health legislation : an economic perspective / Paul J. Feldstein.</t>
        </is>
      </c>
      <c r="H665" t="inlineStr">
        <is>
          <t>No</t>
        </is>
      </c>
      <c r="I665" t="inlineStr">
        <is>
          <t>1</t>
        </is>
      </c>
      <c r="J665" t="inlineStr">
        <is>
          <t>No</t>
        </is>
      </c>
      <c r="K665" t="inlineStr">
        <is>
          <t>Yes</t>
        </is>
      </c>
      <c r="L665" t="inlineStr">
        <is>
          <t>2</t>
        </is>
      </c>
      <c r="M665" t="inlineStr">
        <is>
          <t>Feldstein, Paul J.</t>
        </is>
      </c>
      <c r="N665" t="inlineStr">
        <is>
          <t>Ann Arbor, Mich. : Health Administration Press Perspectives, c1988.</t>
        </is>
      </c>
      <c r="O665" t="inlineStr">
        <is>
          <t>1988</t>
        </is>
      </c>
      <c r="Q665" t="inlineStr">
        <is>
          <t>eng</t>
        </is>
      </c>
      <c r="R665" t="inlineStr">
        <is>
          <t>miu</t>
        </is>
      </c>
      <c r="T665" t="inlineStr">
        <is>
          <t xml:space="preserve">W  </t>
        </is>
      </c>
      <c r="U665" t="n">
        <v>9</v>
      </c>
      <c r="V665" t="n">
        <v>9</v>
      </c>
      <c r="W665" t="inlineStr">
        <is>
          <t>1993-08-01</t>
        </is>
      </c>
      <c r="X665" t="inlineStr">
        <is>
          <t>1993-08-01</t>
        </is>
      </c>
      <c r="Y665" t="inlineStr">
        <is>
          <t>1989-04-24</t>
        </is>
      </c>
      <c r="Z665" t="inlineStr">
        <is>
          <t>1989-04-24</t>
        </is>
      </c>
      <c r="AA665" t="n">
        <v>383</v>
      </c>
      <c r="AB665" t="n">
        <v>343</v>
      </c>
      <c r="AC665" t="n">
        <v>1618</v>
      </c>
      <c r="AD665" t="n">
        <v>1</v>
      </c>
      <c r="AE665" t="n">
        <v>31</v>
      </c>
      <c r="AF665" t="n">
        <v>25</v>
      </c>
      <c r="AG665" t="n">
        <v>66</v>
      </c>
      <c r="AH665" t="n">
        <v>5</v>
      </c>
      <c r="AI665" t="n">
        <v>18</v>
      </c>
      <c r="AJ665" t="n">
        <v>4</v>
      </c>
      <c r="AK665" t="n">
        <v>10</v>
      </c>
      <c r="AL665" t="n">
        <v>10</v>
      </c>
      <c r="AM665" t="n">
        <v>18</v>
      </c>
      <c r="AN665" t="n">
        <v>0</v>
      </c>
      <c r="AO665" t="n">
        <v>16</v>
      </c>
      <c r="AP665" t="n">
        <v>11</v>
      </c>
      <c r="AQ665" t="n">
        <v>13</v>
      </c>
      <c r="AR665" t="inlineStr">
        <is>
          <t>No</t>
        </is>
      </c>
      <c r="AS665" t="inlineStr">
        <is>
          <t>Yes</t>
        </is>
      </c>
      <c r="AT665">
        <f>HYPERLINK("http://catalog.hathitrust.org/Record/000907263","HathiTrust Record")</f>
        <v/>
      </c>
      <c r="AU665">
        <f>HYPERLINK("https://creighton-primo.hosted.exlibrisgroup.com/primo-explore/search?tab=default_tab&amp;search_scope=EVERYTHING&amp;vid=01CRU&amp;lang=en_US&amp;offset=0&amp;query=any,contains,991001244469702656","Catalog Record")</f>
        <v/>
      </c>
      <c r="AV665">
        <f>HYPERLINK("http://www.worldcat.org/oclc/17477056","WorldCat Record")</f>
        <v/>
      </c>
      <c r="AW665" t="inlineStr">
        <is>
          <t>15820694:eng</t>
        </is>
      </c>
      <c r="AX665" t="inlineStr">
        <is>
          <t>17477056</t>
        </is>
      </c>
      <c r="AY665" t="inlineStr">
        <is>
          <t>991001244469702656</t>
        </is>
      </c>
      <c r="AZ665" t="inlineStr">
        <is>
          <t>991001244469702656</t>
        </is>
      </c>
      <c r="BA665" t="inlineStr">
        <is>
          <t>2267365950002656</t>
        </is>
      </c>
      <c r="BB665" t="inlineStr">
        <is>
          <t>BOOK</t>
        </is>
      </c>
      <c r="BD665" t="inlineStr">
        <is>
          <t>9780910701358</t>
        </is>
      </c>
      <c r="BE665" t="inlineStr">
        <is>
          <t>30001001676644</t>
        </is>
      </c>
      <c r="BF665" t="inlineStr">
        <is>
          <t>893834612</t>
        </is>
      </c>
    </row>
    <row r="666">
      <c r="A666" t="inlineStr">
        <is>
          <t>No</t>
        </is>
      </c>
      <c r="B666" t="inlineStr">
        <is>
          <t>CUHSL</t>
        </is>
      </c>
      <c r="C666" t="inlineStr">
        <is>
          <t>SHELVES</t>
        </is>
      </c>
      <c r="D666" t="inlineStr">
        <is>
          <t>W 74 F951w 1974</t>
        </is>
      </c>
      <c r="E666" t="inlineStr">
        <is>
          <t>0                      W  0074000F  951w        1974</t>
        </is>
      </c>
      <c r="F666" t="inlineStr">
        <is>
          <t>Who shall live : Health, economics, and social choice.</t>
        </is>
      </c>
      <c r="H666" t="inlineStr">
        <is>
          <t>No</t>
        </is>
      </c>
      <c r="I666" t="inlineStr">
        <is>
          <t>1</t>
        </is>
      </c>
      <c r="J666" t="inlineStr">
        <is>
          <t>No</t>
        </is>
      </c>
      <c r="K666" t="inlineStr">
        <is>
          <t>Yes</t>
        </is>
      </c>
      <c r="L666" t="inlineStr">
        <is>
          <t>0</t>
        </is>
      </c>
      <c r="M666" t="inlineStr">
        <is>
          <t>Fuchs, Victor R.</t>
        </is>
      </c>
      <c r="N666" t="inlineStr">
        <is>
          <t>New York : Basic Books, [1974]</t>
        </is>
      </c>
      <c r="O666" t="inlineStr">
        <is>
          <t>1974</t>
        </is>
      </c>
      <c r="Q666" t="inlineStr">
        <is>
          <t>eng</t>
        </is>
      </c>
      <c r="R666" t="inlineStr">
        <is>
          <t xml:space="preserve">xx </t>
        </is>
      </c>
      <c r="T666" t="inlineStr">
        <is>
          <t xml:space="preserve">W  </t>
        </is>
      </c>
      <c r="U666" t="n">
        <v>4</v>
      </c>
      <c r="V666" t="n">
        <v>4</v>
      </c>
      <c r="W666" t="inlineStr">
        <is>
          <t>2000-08-19</t>
        </is>
      </c>
      <c r="X666" t="inlineStr">
        <is>
          <t>2000-08-19</t>
        </is>
      </c>
      <c r="Y666" t="inlineStr">
        <is>
          <t>1988-01-05</t>
        </is>
      </c>
      <c r="Z666" t="inlineStr">
        <is>
          <t>1988-01-05</t>
        </is>
      </c>
      <c r="AA666" t="n">
        <v>202</v>
      </c>
      <c r="AB666" t="n">
        <v>145</v>
      </c>
      <c r="AC666" t="n">
        <v>1508</v>
      </c>
      <c r="AD666" t="n">
        <v>1</v>
      </c>
      <c r="AE666" t="n">
        <v>13</v>
      </c>
      <c r="AF666" t="n">
        <v>2</v>
      </c>
      <c r="AG666" t="n">
        <v>54</v>
      </c>
      <c r="AH666" t="n">
        <v>0</v>
      </c>
      <c r="AI666" t="n">
        <v>17</v>
      </c>
      <c r="AJ666" t="n">
        <v>0</v>
      </c>
      <c r="AK666" t="n">
        <v>10</v>
      </c>
      <c r="AL666" t="n">
        <v>2</v>
      </c>
      <c r="AM666" t="n">
        <v>22</v>
      </c>
      <c r="AN666" t="n">
        <v>0</v>
      </c>
      <c r="AO666" t="n">
        <v>10</v>
      </c>
      <c r="AP666" t="n">
        <v>0</v>
      </c>
      <c r="AQ666" t="n">
        <v>6</v>
      </c>
      <c r="AR666" t="inlineStr">
        <is>
          <t>No</t>
        </is>
      </c>
      <c r="AS666" t="inlineStr">
        <is>
          <t>No</t>
        </is>
      </c>
      <c r="AU666">
        <f>HYPERLINK("https://creighton-primo.hosted.exlibrisgroup.com/primo-explore/search?tab=default_tab&amp;search_scope=EVERYTHING&amp;vid=01CRU&amp;lang=en_US&amp;offset=0&amp;query=any,contains,991001543639702656","Catalog Record")</f>
        <v/>
      </c>
      <c r="AV666">
        <f>HYPERLINK("http://www.worldcat.org/oclc/1301570","WorldCat Record")</f>
        <v/>
      </c>
      <c r="AW666" t="inlineStr">
        <is>
          <t>1930142:eng</t>
        </is>
      </c>
      <c r="AX666" t="inlineStr">
        <is>
          <t>1301570</t>
        </is>
      </c>
      <c r="AY666" t="inlineStr">
        <is>
          <t>991001543639702656</t>
        </is>
      </c>
      <c r="AZ666" t="inlineStr">
        <is>
          <t>991001543639702656</t>
        </is>
      </c>
      <c r="BA666" t="inlineStr">
        <is>
          <t>2266493720002656</t>
        </is>
      </c>
      <c r="BB666" t="inlineStr">
        <is>
          <t>BOOK</t>
        </is>
      </c>
      <c r="BE666" t="inlineStr">
        <is>
          <t>30001000636243</t>
        </is>
      </c>
      <c r="BF666" t="inlineStr">
        <is>
          <t>893121620</t>
        </is>
      </c>
    </row>
    <row r="667">
      <c r="A667" t="inlineStr">
        <is>
          <t>No</t>
        </is>
      </c>
      <c r="B667" t="inlineStr">
        <is>
          <t>CUHSL</t>
        </is>
      </c>
      <c r="C667" t="inlineStr">
        <is>
          <t>SHELVES</t>
        </is>
      </c>
      <c r="D667" t="inlineStr">
        <is>
          <t>W 74 F996 1998</t>
        </is>
      </c>
      <c r="E667" t="inlineStr">
        <is>
          <t>0                      W  0074000F  996         1998</t>
        </is>
      </c>
      <c r="F667" t="inlineStr">
        <is>
          <t>The future U.S. healthcare system : who will care for the poor and uninsured? / edited by Stuart H. Altman, Uwe E. Reinhardt, Alexandra E. Shields.</t>
        </is>
      </c>
      <c r="H667" t="inlineStr">
        <is>
          <t>No</t>
        </is>
      </c>
      <c r="I667" t="inlineStr">
        <is>
          <t>1</t>
        </is>
      </c>
      <c r="J667" t="inlineStr">
        <is>
          <t>No</t>
        </is>
      </c>
      <c r="K667" t="inlineStr">
        <is>
          <t>No</t>
        </is>
      </c>
      <c r="L667" t="inlineStr">
        <is>
          <t>0</t>
        </is>
      </c>
      <c r="N667" t="inlineStr">
        <is>
          <t>Chicago, Ill. : Health Administration Press ; Waltham, Mass. : Council on the Economic Impact of Health System Change, c1998.</t>
        </is>
      </c>
      <c r="O667" t="inlineStr">
        <is>
          <t>1998</t>
        </is>
      </c>
      <c r="Q667" t="inlineStr">
        <is>
          <t>eng</t>
        </is>
      </c>
      <c r="R667" t="inlineStr">
        <is>
          <t>ilu</t>
        </is>
      </c>
      <c r="T667" t="inlineStr">
        <is>
          <t xml:space="preserve">W  </t>
        </is>
      </c>
      <c r="U667" t="n">
        <v>17</v>
      </c>
      <c r="V667" t="n">
        <v>17</v>
      </c>
      <c r="W667" t="inlineStr">
        <is>
          <t>2008-01-31</t>
        </is>
      </c>
      <c r="X667" t="inlineStr">
        <is>
          <t>2008-01-31</t>
        </is>
      </c>
      <c r="Y667" t="inlineStr">
        <is>
          <t>1998-04-22</t>
        </is>
      </c>
      <c r="Z667" t="inlineStr">
        <is>
          <t>1998-04-22</t>
        </is>
      </c>
      <c r="AA667" t="n">
        <v>337</v>
      </c>
      <c r="AB667" t="n">
        <v>325</v>
      </c>
      <c r="AC667" t="n">
        <v>331</v>
      </c>
      <c r="AD667" t="n">
        <v>2</v>
      </c>
      <c r="AE667" t="n">
        <v>2</v>
      </c>
      <c r="AF667" t="n">
        <v>19</v>
      </c>
      <c r="AG667" t="n">
        <v>19</v>
      </c>
      <c r="AH667" t="n">
        <v>8</v>
      </c>
      <c r="AI667" t="n">
        <v>8</v>
      </c>
      <c r="AJ667" t="n">
        <v>4</v>
      </c>
      <c r="AK667" t="n">
        <v>4</v>
      </c>
      <c r="AL667" t="n">
        <v>12</v>
      </c>
      <c r="AM667" t="n">
        <v>12</v>
      </c>
      <c r="AN667" t="n">
        <v>1</v>
      </c>
      <c r="AO667" t="n">
        <v>1</v>
      </c>
      <c r="AP667" t="n">
        <v>1</v>
      </c>
      <c r="AQ667" t="n">
        <v>1</v>
      </c>
      <c r="AR667" t="inlineStr">
        <is>
          <t>No</t>
        </is>
      </c>
      <c r="AS667" t="inlineStr">
        <is>
          <t>Yes</t>
        </is>
      </c>
      <c r="AT667">
        <f>HYPERLINK("http://catalog.hathitrust.org/Record/004030845","HathiTrust Record")</f>
        <v/>
      </c>
      <c r="AU667">
        <f>HYPERLINK("https://creighton-primo.hosted.exlibrisgroup.com/primo-explore/search?tab=default_tab&amp;search_scope=EVERYTHING&amp;vid=01CRU&amp;lang=en_US&amp;offset=0&amp;query=any,contains,991001430529702656","Catalog Record")</f>
        <v/>
      </c>
      <c r="AV667">
        <f>HYPERLINK("http://www.worldcat.org/oclc/37132468","WorldCat Record")</f>
        <v/>
      </c>
      <c r="AW667" t="inlineStr">
        <is>
          <t>1414643885:eng</t>
        </is>
      </c>
      <c r="AX667" t="inlineStr">
        <is>
          <t>37132468</t>
        </is>
      </c>
      <c r="AY667" t="inlineStr">
        <is>
          <t>991001430529702656</t>
        </is>
      </c>
      <c r="AZ667" t="inlineStr">
        <is>
          <t>991001430529702656</t>
        </is>
      </c>
      <c r="BA667" t="inlineStr">
        <is>
          <t>2272431970002656</t>
        </is>
      </c>
      <c r="BB667" t="inlineStr">
        <is>
          <t>BOOK</t>
        </is>
      </c>
      <c r="BD667" t="inlineStr">
        <is>
          <t>9781567930672</t>
        </is>
      </c>
      <c r="BE667" t="inlineStr">
        <is>
          <t>30001003864909</t>
        </is>
      </c>
      <c r="BF667" t="inlineStr">
        <is>
          <t>893369391</t>
        </is>
      </c>
    </row>
    <row r="668">
      <c r="A668" t="inlineStr">
        <is>
          <t>No</t>
        </is>
      </c>
      <c r="B668" t="inlineStr">
        <is>
          <t>CUHSL</t>
        </is>
      </c>
      <c r="C668" t="inlineStr">
        <is>
          <t>SHELVES</t>
        </is>
      </c>
      <c r="D668" t="inlineStr">
        <is>
          <t>W 74 FA1 M478u 2002</t>
        </is>
      </c>
      <c r="E668" t="inlineStr">
        <is>
          <t>0                      W  0074000FA 1                  M  478u        2002</t>
        </is>
      </c>
      <c r="F668" t="inlineStr">
        <is>
          <t>Using health economics in health services : rationing rationally? / Ruth McDonald.</t>
        </is>
      </c>
      <c r="H668" t="inlineStr">
        <is>
          <t>No</t>
        </is>
      </c>
      <c r="I668" t="inlineStr">
        <is>
          <t>1</t>
        </is>
      </c>
      <c r="J668" t="inlineStr">
        <is>
          <t>No</t>
        </is>
      </c>
      <c r="K668" t="inlineStr">
        <is>
          <t>No</t>
        </is>
      </c>
      <c r="L668" t="inlineStr">
        <is>
          <t>0</t>
        </is>
      </c>
      <c r="M668" t="inlineStr">
        <is>
          <t>McDonald, Ruth, 1960-</t>
        </is>
      </c>
      <c r="N668" t="inlineStr">
        <is>
          <t>Buckingham ; Philadelphia, Pa. : Open University, 2002.</t>
        </is>
      </c>
      <c r="O668" t="inlineStr">
        <is>
          <t>2002</t>
        </is>
      </c>
      <c r="Q668" t="inlineStr">
        <is>
          <t>eng</t>
        </is>
      </c>
      <c r="R668" t="inlineStr">
        <is>
          <t>enk</t>
        </is>
      </c>
      <c r="S668" t="inlineStr">
        <is>
          <t>State of health series</t>
        </is>
      </c>
      <c r="T668" t="inlineStr">
        <is>
          <t xml:space="preserve">W  </t>
        </is>
      </c>
      <c r="U668" t="n">
        <v>1</v>
      </c>
      <c r="V668" t="n">
        <v>1</v>
      </c>
      <c r="W668" t="inlineStr">
        <is>
          <t>2005-04-21</t>
        </is>
      </c>
      <c r="X668" t="inlineStr">
        <is>
          <t>2005-04-21</t>
        </is>
      </c>
      <c r="Y668" t="inlineStr">
        <is>
          <t>2004-08-27</t>
        </is>
      </c>
      <c r="Z668" t="inlineStr">
        <is>
          <t>2004-08-27</t>
        </is>
      </c>
      <c r="AA668" t="n">
        <v>148</v>
      </c>
      <c r="AB668" t="n">
        <v>73</v>
      </c>
      <c r="AC668" t="n">
        <v>78</v>
      </c>
      <c r="AD668" t="n">
        <v>1</v>
      </c>
      <c r="AE668" t="n">
        <v>1</v>
      </c>
      <c r="AF668" t="n">
        <v>1</v>
      </c>
      <c r="AG668" t="n">
        <v>1</v>
      </c>
      <c r="AH668" t="n">
        <v>0</v>
      </c>
      <c r="AI668" t="n">
        <v>0</v>
      </c>
      <c r="AJ668" t="n">
        <v>0</v>
      </c>
      <c r="AK668" t="n">
        <v>0</v>
      </c>
      <c r="AL668" t="n">
        <v>1</v>
      </c>
      <c r="AM668" t="n">
        <v>1</v>
      </c>
      <c r="AN668" t="n">
        <v>0</v>
      </c>
      <c r="AO668" t="n">
        <v>0</v>
      </c>
      <c r="AP668" t="n">
        <v>0</v>
      </c>
      <c r="AQ668" t="n">
        <v>0</v>
      </c>
      <c r="AR668" t="inlineStr">
        <is>
          <t>No</t>
        </is>
      </c>
      <c r="AS668" t="inlineStr">
        <is>
          <t>No</t>
        </is>
      </c>
      <c r="AU668">
        <f>HYPERLINK("https://creighton-primo.hosted.exlibrisgroup.com/primo-explore/search?tab=default_tab&amp;search_scope=EVERYTHING&amp;vid=01CRU&amp;lang=en_US&amp;offset=0&amp;query=any,contains,991000380359702656","Catalog Record")</f>
        <v/>
      </c>
      <c r="AV668">
        <f>HYPERLINK("http://www.worldcat.org/oclc/48655641","WorldCat Record")</f>
        <v/>
      </c>
      <c r="AW668" t="inlineStr">
        <is>
          <t>371026808:eng</t>
        </is>
      </c>
      <c r="AX668" t="inlineStr">
        <is>
          <t>48655641</t>
        </is>
      </c>
      <c r="AY668" t="inlineStr">
        <is>
          <t>991000380359702656</t>
        </is>
      </c>
      <c r="AZ668" t="inlineStr">
        <is>
          <t>991000380359702656</t>
        </is>
      </c>
      <c r="BA668" t="inlineStr">
        <is>
          <t>2269160720002656</t>
        </is>
      </c>
      <c r="BB668" t="inlineStr">
        <is>
          <t>BOOK</t>
        </is>
      </c>
      <c r="BD668" t="inlineStr">
        <is>
          <t>9780335209835</t>
        </is>
      </c>
      <c r="BE668" t="inlineStr">
        <is>
          <t>30001004219970</t>
        </is>
      </c>
      <c r="BF668" t="inlineStr">
        <is>
          <t>893365380</t>
        </is>
      </c>
    </row>
    <row r="669">
      <c r="A669" t="inlineStr">
        <is>
          <t>No</t>
        </is>
      </c>
      <c r="B669" t="inlineStr">
        <is>
          <t>CUHSL</t>
        </is>
      </c>
      <c r="C669" t="inlineStr">
        <is>
          <t>SHELVES</t>
        </is>
      </c>
      <c r="D669" t="inlineStr">
        <is>
          <t>W 74 G945 1997</t>
        </is>
      </c>
      <c r="E669" t="inlineStr">
        <is>
          <t>0                      W  0074000G  945         1997</t>
        </is>
      </c>
      <c r="F669" t="inlineStr">
        <is>
          <t>Guide to clinical resource management / Mickey L. Parsons ... [et al.].</t>
        </is>
      </c>
      <c r="H669" t="inlineStr">
        <is>
          <t>No</t>
        </is>
      </c>
      <c r="I669" t="inlineStr">
        <is>
          <t>1</t>
        </is>
      </c>
      <c r="J669" t="inlineStr">
        <is>
          <t>No</t>
        </is>
      </c>
      <c r="K669" t="inlineStr">
        <is>
          <t>No</t>
        </is>
      </c>
      <c r="L669" t="inlineStr">
        <is>
          <t>0</t>
        </is>
      </c>
      <c r="N669" t="inlineStr">
        <is>
          <t>Gaithersburg, Md. : Aspen Publishers, c1997.</t>
        </is>
      </c>
      <c r="O669" t="inlineStr">
        <is>
          <t>1997</t>
        </is>
      </c>
      <c r="Q669" t="inlineStr">
        <is>
          <t>eng</t>
        </is>
      </c>
      <c r="R669" t="inlineStr">
        <is>
          <t>mdu</t>
        </is>
      </c>
      <c r="S669" t="inlineStr">
        <is>
          <t>Strategies for improving patient care</t>
        </is>
      </c>
      <c r="T669" t="inlineStr">
        <is>
          <t xml:space="preserve">W  </t>
        </is>
      </c>
      <c r="U669" t="n">
        <v>3</v>
      </c>
      <c r="V669" t="n">
        <v>3</v>
      </c>
      <c r="W669" t="inlineStr">
        <is>
          <t>2001-11-20</t>
        </is>
      </c>
      <c r="X669" t="inlineStr">
        <is>
          <t>2001-11-20</t>
        </is>
      </c>
      <c r="Y669" t="inlineStr">
        <is>
          <t>1999-04-13</t>
        </is>
      </c>
      <c r="Z669" t="inlineStr">
        <is>
          <t>1999-04-13</t>
        </is>
      </c>
      <c r="AA669" t="n">
        <v>112</v>
      </c>
      <c r="AB669" t="n">
        <v>98</v>
      </c>
      <c r="AC669" t="n">
        <v>100</v>
      </c>
      <c r="AD669" t="n">
        <v>1</v>
      </c>
      <c r="AE669" t="n">
        <v>1</v>
      </c>
      <c r="AF669" t="n">
        <v>2</v>
      </c>
      <c r="AG669" t="n">
        <v>2</v>
      </c>
      <c r="AH669" t="n">
        <v>0</v>
      </c>
      <c r="AI669" t="n">
        <v>0</v>
      </c>
      <c r="AJ669" t="n">
        <v>1</v>
      </c>
      <c r="AK669" t="n">
        <v>1</v>
      </c>
      <c r="AL669" t="n">
        <v>2</v>
      </c>
      <c r="AM669" t="n">
        <v>2</v>
      </c>
      <c r="AN669" t="n">
        <v>0</v>
      </c>
      <c r="AO669" t="n">
        <v>0</v>
      </c>
      <c r="AP669" t="n">
        <v>0</v>
      </c>
      <c r="AQ669" t="n">
        <v>0</v>
      </c>
      <c r="AR669" t="inlineStr">
        <is>
          <t>No</t>
        </is>
      </c>
      <c r="AS669" t="inlineStr">
        <is>
          <t>Yes</t>
        </is>
      </c>
      <c r="AT669">
        <f>HYPERLINK("http://catalog.hathitrust.org/Record/003131668","HathiTrust Record")</f>
        <v/>
      </c>
      <c r="AU669">
        <f>HYPERLINK("https://creighton-primo.hosted.exlibrisgroup.com/primo-explore/search?tab=default_tab&amp;search_scope=EVERYTHING&amp;vid=01CRU&amp;lang=en_US&amp;offset=0&amp;query=any,contains,991000783769702656","Catalog Record")</f>
        <v/>
      </c>
      <c r="AV669">
        <f>HYPERLINK("http://www.worldcat.org/oclc/34775926","WorldCat Record")</f>
        <v/>
      </c>
      <c r="AW669" t="inlineStr">
        <is>
          <t>40174127:eng</t>
        </is>
      </c>
      <c r="AX669" t="inlineStr">
        <is>
          <t>34775926</t>
        </is>
      </c>
      <c r="AY669" t="inlineStr">
        <is>
          <t>991000783769702656</t>
        </is>
      </c>
      <c r="AZ669" t="inlineStr">
        <is>
          <t>991000783769702656</t>
        </is>
      </c>
      <c r="BA669" t="inlineStr">
        <is>
          <t>2260717030002656</t>
        </is>
      </c>
      <c r="BB669" t="inlineStr">
        <is>
          <t>BOOK</t>
        </is>
      </c>
      <c r="BD669" t="inlineStr">
        <is>
          <t>9780834208490</t>
        </is>
      </c>
      <c r="BE669" t="inlineStr">
        <is>
          <t>30001004071058</t>
        </is>
      </c>
      <c r="BF669" t="inlineStr">
        <is>
          <t>893278131</t>
        </is>
      </c>
    </row>
    <row r="670">
      <c r="A670" t="inlineStr">
        <is>
          <t>No</t>
        </is>
      </c>
      <c r="B670" t="inlineStr">
        <is>
          <t>CUHSL</t>
        </is>
      </c>
      <c r="C670" t="inlineStr">
        <is>
          <t>SHELVES</t>
        </is>
      </c>
      <c r="D670" t="inlineStr">
        <is>
          <t>W 74 H434 1990</t>
        </is>
      </c>
      <c r="E670" t="inlineStr">
        <is>
          <t>0                      W  0074000H  434         1990</t>
        </is>
      </c>
      <c r="F670" t="inlineStr">
        <is>
          <t>Health care cost containment / Karen Davis ... [et al.].</t>
        </is>
      </c>
      <c r="H670" t="inlineStr">
        <is>
          <t>No</t>
        </is>
      </c>
      <c r="I670" t="inlineStr">
        <is>
          <t>1</t>
        </is>
      </c>
      <c r="J670" t="inlineStr">
        <is>
          <t>No</t>
        </is>
      </c>
      <c r="K670" t="inlineStr">
        <is>
          <t>No</t>
        </is>
      </c>
      <c r="L670" t="inlineStr">
        <is>
          <t>0</t>
        </is>
      </c>
      <c r="N670" t="inlineStr">
        <is>
          <t>Baltimore : Johns Hopkins University Press, c1990.</t>
        </is>
      </c>
      <c r="O670" t="inlineStr">
        <is>
          <t>1990</t>
        </is>
      </c>
      <c r="Q670" t="inlineStr">
        <is>
          <t>eng</t>
        </is>
      </c>
      <c r="R670" t="inlineStr">
        <is>
          <t>xxu</t>
        </is>
      </c>
      <c r="S670" t="inlineStr">
        <is>
          <t>Johns Hopkins studies in health care finance and administration ; 3</t>
        </is>
      </c>
      <c r="T670" t="inlineStr">
        <is>
          <t xml:space="preserve">W  </t>
        </is>
      </c>
      <c r="U670" t="n">
        <v>16</v>
      </c>
      <c r="V670" t="n">
        <v>16</v>
      </c>
      <c r="W670" t="inlineStr">
        <is>
          <t>2001-11-20</t>
        </is>
      </c>
      <c r="X670" t="inlineStr">
        <is>
          <t>2001-11-20</t>
        </is>
      </c>
      <c r="Y670" t="inlineStr">
        <is>
          <t>1991-06-14</t>
        </is>
      </c>
      <c r="Z670" t="inlineStr">
        <is>
          <t>1991-06-14</t>
        </is>
      </c>
      <c r="AA670" t="n">
        <v>409</v>
      </c>
      <c r="AB670" t="n">
        <v>360</v>
      </c>
      <c r="AC670" t="n">
        <v>367</v>
      </c>
      <c r="AD670" t="n">
        <v>1</v>
      </c>
      <c r="AE670" t="n">
        <v>1</v>
      </c>
      <c r="AF670" t="n">
        <v>18</v>
      </c>
      <c r="AG670" t="n">
        <v>18</v>
      </c>
      <c r="AH670" t="n">
        <v>5</v>
      </c>
      <c r="AI670" t="n">
        <v>5</v>
      </c>
      <c r="AJ670" t="n">
        <v>7</v>
      </c>
      <c r="AK670" t="n">
        <v>7</v>
      </c>
      <c r="AL670" t="n">
        <v>6</v>
      </c>
      <c r="AM670" t="n">
        <v>6</v>
      </c>
      <c r="AN670" t="n">
        <v>0</v>
      </c>
      <c r="AO670" t="n">
        <v>0</v>
      </c>
      <c r="AP670" t="n">
        <v>4</v>
      </c>
      <c r="AQ670" t="n">
        <v>4</v>
      </c>
      <c r="AR670" t="inlineStr">
        <is>
          <t>No</t>
        </is>
      </c>
      <c r="AS670" t="inlineStr">
        <is>
          <t>Yes</t>
        </is>
      </c>
      <c r="AT670">
        <f>HYPERLINK("http://catalog.hathitrust.org/Record/002454774","HathiTrust Record")</f>
        <v/>
      </c>
      <c r="AU670">
        <f>HYPERLINK("https://creighton-primo.hosted.exlibrisgroup.com/primo-explore/search?tab=default_tab&amp;search_scope=EVERYTHING&amp;vid=01CRU&amp;lang=en_US&amp;offset=0&amp;query=any,contains,991000939759702656","Catalog Record")</f>
        <v/>
      </c>
      <c r="AV670">
        <f>HYPERLINK("http://www.worldcat.org/oclc/20320181","WorldCat Record")</f>
        <v/>
      </c>
      <c r="AW670" t="inlineStr">
        <is>
          <t>55246900:eng</t>
        </is>
      </c>
      <c r="AX670" t="inlineStr">
        <is>
          <t>20320181</t>
        </is>
      </c>
      <c r="AY670" t="inlineStr">
        <is>
          <t>991000939759702656</t>
        </is>
      </c>
      <c r="AZ670" t="inlineStr">
        <is>
          <t>991000939759702656</t>
        </is>
      </c>
      <c r="BA670" t="inlineStr">
        <is>
          <t>2266160260002656</t>
        </is>
      </c>
      <c r="BB670" t="inlineStr">
        <is>
          <t>BOOK</t>
        </is>
      </c>
      <c r="BD670" t="inlineStr">
        <is>
          <t>9780801838743</t>
        </is>
      </c>
      <c r="BE670" t="inlineStr">
        <is>
          <t>30001002192278</t>
        </is>
      </c>
      <c r="BF670" t="inlineStr">
        <is>
          <t>893460153</t>
        </is>
      </c>
    </row>
    <row r="671">
      <c r="A671" t="inlineStr">
        <is>
          <t>No</t>
        </is>
      </c>
      <c r="B671" t="inlineStr">
        <is>
          <t>CUHSL</t>
        </is>
      </c>
      <c r="C671" t="inlineStr">
        <is>
          <t>SHELVES</t>
        </is>
      </c>
      <c r="D671" t="inlineStr">
        <is>
          <t>W 74 H43416 1988</t>
        </is>
      </c>
      <c r="E671" t="inlineStr">
        <is>
          <t>0                      W  0074000H  43416       1988</t>
        </is>
      </c>
      <c r="F671" t="inlineStr">
        <is>
          <t>Health care in America : the political economy of hospitals and health insurance / edited by H.E. Frech III ; foreword by Richard Zeckhauser.</t>
        </is>
      </c>
      <c r="H671" t="inlineStr">
        <is>
          <t>No</t>
        </is>
      </c>
      <c r="I671" t="inlineStr">
        <is>
          <t>1</t>
        </is>
      </c>
      <c r="J671" t="inlineStr">
        <is>
          <t>No</t>
        </is>
      </c>
      <c r="K671" t="inlineStr">
        <is>
          <t>No</t>
        </is>
      </c>
      <c r="L671" t="inlineStr">
        <is>
          <t>0</t>
        </is>
      </c>
      <c r="N671" t="inlineStr">
        <is>
          <t>San Francisco, Calif. : Pacific Research Institute for Public Policy, c1988.</t>
        </is>
      </c>
      <c r="O671" t="inlineStr">
        <is>
          <t>1988</t>
        </is>
      </c>
      <c r="Q671" t="inlineStr">
        <is>
          <t>eng</t>
        </is>
      </c>
      <c r="R671" t="inlineStr">
        <is>
          <t>cau</t>
        </is>
      </c>
      <c r="T671" t="inlineStr">
        <is>
          <t xml:space="preserve">W  </t>
        </is>
      </c>
      <c r="U671" t="n">
        <v>8</v>
      </c>
      <c r="V671" t="n">
        <v>8</v>
      </c>
      <c r="W671" t="inlineStr">
        <is>
          <t>1995-04-20</t>
        </is>
      </c>
      <c r="X671" t="inlineStr">
        <is>
          <t>1995-04-20</t>
        </is>
      </c>
      <c r="Y671" t="inlineStr">
        <is>
          <t>1992-03-30</t>
        </is>
      </c>
      <c r="Z671" t="inlineStr">
        <is>
          <t>1992-03-30</t>
        </is>
      </c>
      <c r="AA671" t="n">
        <v>470</v>
      </c>
      <c r="AB671" t="n">
        <v>427</v>
      </c>
      <c r="AC671" t="n">
        <v>432</v>
      </c>
      <c r="AD671" t="n">
        <v>4</v>
      </c>
      <c r="AE671" t="n">
        <v>4</v>
      </c>
      <c r="AF671" t="n">
        <v>21</v>
      </c>
      <c r="AG671" t="n">
        <v>21</v>
      </c>
      <c r="AH671" t="n">
        <v>3</v>
      </c>
      <c r="AI671" t="n">
        <v>3</v>
      </c>
      <c r="AJ671" t="n">
        <v>6</v>
      </c>
      <c r="AK671" t="n">
        <v>6</v>
      </c>
      <c r="AL671" t="n">
        <v>9</v>
      </c>
      <c r="AM671" t="n">
        <v>9</v>
      </c>
      <c r="AN671" t="n">
        <v>2</v>
      </c>
      <c r="AO671" t="n">
        <v>2</v>
      </c>
      <c r="AP671" t="n">
        <v>6</v>
      </c>
      <c r="AQ671" t="n">
        <v>6</v>
      </c>
      <c r="AR671" t="inlineStr">
        <is>
          <t>No</t>
        </is>
      </c>
      <c r="AS671" t="inlineStr">
        <is>
          <t>No</t>
        </is>
      </c>
      <c r="AU671">
        <f>HYPERLINK("https://creighton-primo.hosted.exlibrisgroup.com/primo-explore/search?tab=default_tab&amp;search_scope=EVERYTHING&amp;vid=01CRU&amp;lang=en_US&amp;offset=0&amp;query=any,contains,991001036089702656","Catalog Record")</f>
        <v/>
      </c>
      <c r="AV671">
        <f>HYPERLINK("http://www.worldcat.org/oclc/17442850","WorldCat Record")</f>
        <v/>
      </c>
      <c r="AW671" t="inlineStr">
        <is>
          <t>905490220:eng</t>
        </is>
      </c>
      <c r="AX671" t="inlineStr">
        <is>
          <t>17442850</t>
        </is>
      </c>
      <c r="AY671" t="inlineStr">
        <is>
          <t>991001036089702656</t>
        </is>
      </c>
      <c r="AZ671" t="inlineStr">
        <is>
          <t>991001036089702656</t>
        </is>
      </c>
      <c r="BA671" t="inlineStr">
        <is>
          <t>2260075250002656</t>
        </is>
      </c>
      <c r="BB671" t="inlineStr">
        <is>
          <t>BOOK</t>
        </is>
      </c>
      <c r="BD671" t="inlineStr">
        <is>
          <t>9780936488196</t>
        </is>
      </c>
      <c r="BE671" t="inlineStr">
        <is>
          <t>30001002244749</t>
        </is>
      </c>
      <c r="BF671" t="inlineStr">
        <is>
          <t>893450795</t>
        </is>
      </c>
    </row>
    <row r="672">
      <c r="A672" t="inlineStr">
        <is>
          <t>No</t>
        </is>
      </c>
      <c r="B672" t="inlineStr">
        <is>
          <t>CUHSL</t>
        </is>
      </c>
      <c r="C672" t="inlineStr">
        <is>
          <t>SHELVES</t>
        </is>
      </c>
      <c r="D672" t="inlineStr">
        <is>
          <t>W 74 H638 1983</t>
        </is>
      </c>
      <c r="E672" t="inlineStr">
        <is>
          <t>0                      W  0074000H  638         1983</t>
        </is>
      </c>
      <c r="F672" t="inlineStr">
        <is>
          <t>High cost illness among hospitalized patients : final report on Phase I of Contract No. 233-81-3032, the National Center for Health Services Research / S.E. Berki, principal investigator, . . . [et al.].</t>
        </is>
      </c>
      <c r="H672" t="inlineStr">
        <is>
          <t>No</t>
        </is>
      </c>
      <c r="I672" t="inlineStr">
        <is>
          <t>1</t>
        </is>
      </c>
      <c r="J672" t="inlineStr">
        <is>
          <t>No</t>
        </is>
      </c>
      <c r="K672" t="inlineStr">
        <is>
          <t>No</t>
        </is>
      </c>
      <c r="L672" t="inlineStr">
        <is>
          <t>0</t>
        </is>
      </c>
      <c r="N672" t="inlineStr">
        <is>
          <t>Ann Arbor, Mich.: Dept. of Medical Care Organization, School of Public Health, Univ. of Michigan ; Springfield, Va.: reproduced by National Technical Information Service, 1983.</t>
        </is>
      </c>
      <c r="O672" t="inlineStr">
        <is>
          <t>1983</t>
        </is>
      </c>
      <c r="Q672" t="inlineStr">
        <is>
          <t>eng</t>
        </is>
      </c>
      <c r="R672" t="inlineStr">
        <is>
          <t>vau</t>
        </is>
      </c>
      <c r="T672" t="inlineStr">
        <is>
          <t xml:space="preserve">W  </t>
        </is>
      </c>
      <c r="U672" t="n">
        <v>2</v>
      </c>
      <c r="V672" t="n">
        <v>2</v>
      </c>
      <c r="W672" t="inlineStr">
        <is>
          <t>1989-03-09</t>
        </is>
      </c>
      <c r="X672" t="inlineStr">
        <is>
          <t>1989-03-09</t>
        </is>
      </c>
      <c r="Y672" t="inlineStr">
        <is>
          <t>1987-12-19</t>
        </is>
      </c>
      <c r="Z672" t="inlineStr">
        <is>
          <t>1987-12-19</t>
        </is>
      </c>
      <c r="AA672" t="n">
        <v>3</v>
      </c>
      <c r="AB672" t="n">
        <v>3</v>
      </c>
      <c r="AC672" t="n">
        <v>13</v>
      </c>
      <c r="AD672" t="n">
        <v>1</v>
      </c>
      <c r="AE672" t="n">
        <v>1</v>
      </c>
      <c r="AF672" t="n">
        <v>0</v>
      </c>
      <c r="AG672" t="n">
        <v>0</v>
      </c>
      <c r="AH672" t="n">
        <v>0</v>
      </c>
      <c r="AI672" t="n">
        <v>0</v>
      </c>
      <c r="AJ672" t="n">
        <v>0</v>
      </c>
      <c r="AK672" t="n">
        <v>0</v>
      </c>
      <c r="AL672" t="n">
        <v>0</v>
      </c>
      <c r="AM672" t="n">
        <v>0</v>
      </c>
      <c r="AN672" t="n">
        <v>0</v>
      </c>
      <c r="AO672" t="n">
        <v>0</v>
      </c>
      <c r="AP672" t="n">
        <v>0</v>
      </c>
      <c r="AQ672" t="n">
        <v>0</v>
      </c>
      <c r="AR672" t="inlineStr">
        <is>
          <t>Yes</t>
        </is>
      </c>
      <c r="AS672" t="inlineStr">
        <is>
          <t>No</t>
        </is>
      </c>
      <c r="AT672">
        <f>HYPERLINK("http://catalog.hathitrust.org/Record/003334045","HathiTrust Record")</f>
        <v/>
      </c>
      <c r="AU672">
        <f>HYPERLINK("https://creighton-primo.hosted.exlibrisgroup.com/primo-explore/search?tab=default_tab&amp;search_scope=EVERYTHING&amp;vid=01CRU&amp;lang=en_US&amp;offset=0&amp;query=any,contains,991001543679702656","Catalog Record")</f>
        <v/>
      </c>
      <c r="AV672">
        <f>HYPERLINK("http://www.worldcat.org/oclc/12904104","WorldCat Record")</f>
        <v/>
      </c>
      <c r="AW672" t="inlineStr">
        <is>
          <t>11410947:eng</t>
        </is>
      </c>
      <c r="AX672" t="inlineStr">
        <is>
          <t>12904104</t>
        </is>
      </c>
      <c r="AY672" t="inlineStr">
        <is>
          <t>991001543679702656</t>
        </is>
      </c>
      <c r="AZ672" t="inlineStr">
        <is>
          <t>991001543679702656</t>
        </is>
      </c>
      <c r="BA672" t="inlineStr">
        <is>
          <t>2258741590002656</t>
        </is>
      </c>
      <c r="BB672" t="inlineStr">
        <is>
          <t>BOOK</t>
        </is>
      </c>
      <c r="BE672" t="inlineStr">
        <is>
          <t>30001000636268</t>
        </is>
      </c>
      <c r="BF672" t="inlineStr">
        <is>
          <t>893832297</t>
        </is>
      </c>
    </row>
    <row r="673">
      <c r="A673" t="inlineStr">
        <is>
          <t>No</t>
        </is>
      </c>
      <c r="B673" t="inlineStr">
        <is>
          <t>CUHSL</t>
        </is>
      </c>
      <c r="C673" t="inlineStr">
        <is>
          <t>SHELVES</t>
        </is>
      </c>
      <c r="D673" t="inlineStr">
        <is>
          <t>W 74 J17e 1997</t>
        </is>
      </c>
      <c r="E673" t="inlineStr">
        <is>
          <t>0                      W  0074000J  17e         1997</t>
        </is>
      </c>
      <c r="F673" t="inlineStr">
        <is>
          <t>The economics of health and medical care / Philip Jacobs.</t>
        </is>
      </c>
      <c r="H673" t="inlineStr">
        <is>
          <t>No</t>
        </is>
      </c>
      <c r="I673" t="inlineStr">
        <is>
          <t>1</t>
        </is>
      </c>
      <c r="J673" t="inlineStr">
        <is>
          <t>No</t>
        </is>
      </c>
      <c r="K673" t="inlineStr">
        <is>
          <t>Yes</t>
        </is>
      </c>
      <c r="L673" t="inlineStr">
        <is>
          <t>0</t>
        </is>
      </c>
      <c r="M673" t="inlineStr">
        <is>
          <t>Jacobs, Philip, 1943-</t>
        </is>
      </c>
      <c r="N673" t="inlineStr">
        <is>
          <t>Gaithersburg, Md. : Aspen Publishers, c1997.</t>
        </is>
      </c>
      <c r="O673" t="inlineStr">
        <is>
          <t>1997</t>
        </is>
      </c>
      <c r="P673" t="inlineStr">
        <is>
          <t>4th ed.</t>
        </is>
      </c>
      <c r="Q673" t="inlineStr">
        <is>
          <t>eng</t>
        </is>
      </c>
      <c r="R673" t="inlineStr">
        <is>
          <t>mdu</t>
        </is>
      </c>
      <c r="T673" t="inlineStr">
        <is>
          <t xml:space="preserve">W  </t>
        </is>
      </c>
      <c r="U673" t="n">
        <v>3</v>
      </c>
      <c r="V673" t="n">
        <v>3</v>
      </c>
      <c r="W673" t="inlineStr">
        <is>
          <t>2007-09-27</t>
        </is>
      </c>
      <c r="X673" t="inlineStr">
        <is>
          <t>2007-09-27</t>
        </is>
      </c>
      <c r="Y673" t="inlineStr">
        <is>
          <t>1999-11-12</t>
        </is>
      </c>
      <c r="Z673" t="inlineStr">
        <is>
          <t>1999-11-12</t>
        </is>
      </c>
      <c r="AA673" t="n">
        <v>224</v>
      </c>
      <c r="AB673" t="n">
        <v>189</v>
      </c>
      <c r="AC673" t="n">
        <v>514</v>
      </c>
      <c r="AD673" t="n">
        <v>1</v>
      </c>
      <c r="AE673" t="n">
        <v>3</v>
      </c>
      <c r="AF673" t="n">
        <v>11</v>
      </c>
      <c r="AG673" t="n">
        <v>27</v>
      </c>
      <c r="AH673" t="n">
        <v>3</v>
      </c>
      <c r="AI673" t="n">
        <v>9</v>
      </c>
      <c r="AJ673" t="n">
        <v>5</v>
      </c>
      <c r="AK673" t="n">
        <v>7</v>
      </c>
      <c r="AL673" t="n">
        <v>6</v>
      </c>
      <c r="AM673" t="n">
        <v>13</v>
      </c>
      <c r="AN673" t="n">
        <v>0</v>
      </c>
      <c r="AO673" t="n">
        <v>2</v>
      </c>
      <c r="AP673" t="n">
        <v>1</v>
      </c>
      <c r="AQ673" t="n">
        <v>3</v>
      </c>
      <c r="AR673" t="inlineStr">
        <is>
          <t>No</t>
        </is>
      </c>
      <c r="AS673" t="inlineStr">
        <is>
          <t>Yes</t>
        </is>
      </c>
      <c r="AT673">
        <f>HYPERLINK("http://catalog.hathitrust.org/Record/004560319","HathiTrust Record")</f>
        <v/>
      </c>
      <c r="AU673">
        <f>HYPERLINK("https://creighton-primo.hosted.exlibrisgroup.com/primo-explore/search?tab=default_tab&amp;search_scope=EVERYTHING&amp;vid=01CRU&amp;lang=en_US&amp;offset=0&amp;query=any,contains,991000798269702656","Catalog Record")</f>
        <v/>
      </c>
      <c r="AV673">
        <f>HYPERLINK("http://www.worldcat.org/oclc/34951477","WorldCat Record")</f>
        <v/>
      </c>
      <c r="AW673" t="inlineStr">
        <is>
          <t>4927459416:eng</t>
        </is>
      </c>
      <c r="AX673" t="inlineStr">
        <is>
          <t>34951477</t>
        </is>
      </c>
      <c r="AY673" t="inlineStr">
        <is>
          <t>991000798269702656</t>
        </is>
      </c>
      <c r="AZ673" t="inlineStr">
        <is>
          <t>991000798269702656</t>
        </is>
      </c>
      <c r="BA673" t="inlineStr">
        <is>
          <t>2262171170002656</t>
        </is>
      </c>
      <c r="BB673" t="inlineStr">
        <is>
          <t>BOOK</t>
        </is>
      </c>
      <c r="BD673" t="inlineStr">
        <is>
          <t>9780834208032</t>
        </is>
      </c>
      <c r="BE673" t="inlineStr">
        <is>
          <t>30001004080406</t>
        </is>
      </c>
      <c r="BF673" t="inlineStr">
        <is>
          <t>893161194</t>
        </is>
      </c>
    </row>
    <row r="674">
      <c r="A674" t="inlineStr">
        <is>
          <t>No</t>
        </is>
      </c>
      <c r="B674" t="inlineStr">
        <is>
          <t>CUHSL</t>
        </is>
      </c>
      <c r="C674" t="inlineStr">
        <is>
          <t>SHELVES</t>
        </is>
      </c>
      <c r="D674" t="inlineStr">
        <is>
          <t>W74 J17e 2002</t>
        </is>
      </c>
      <c r="E674" t="inlineStr">
        <is>
          <t>0                      W  0074000J  17e         2002</t>
        </is>
      </c>
      <c r="F674" t="inlineStr">
        <is>
          <t>The economics of health and medical care / Philip Jacobs, John Rapoport.</t>
        </is>
      </c>
      <c r="H674" t="inlineStr">
        <is>
          <t>No</t>
        </is>
      </c>
      <c r="I674" t="inlineStr">
        <is>
          <t>1</t>
        </is>
      </c>
      <c r="J674" t="inlineStr">
        <is>
          <t>No</t>
        </is>
      </c>
      <c r="K674" t="inlineStr">
        <is>
          <t>Yes</t>
        </is>
      </c>
      <c r="L674" t="inlineStr">
        <is>
          <t>0</t>
        </is>
      </c>
      <c r="M674" t="inlineStr">
        <is>
          <t>Jacobs, Philip, 1943-</t>
        </is>
      </c>
      <c r="N674" t="inlineStr">
        <is>
          <t>Gaithersburg, Md. : Aspen Publishers, c2002.</t>
        </is>
      </c>
      <c r="O674" t="inlineStr">
        <is>
          <t>2002</t>
        </is>
      </c>
      <c r="P674" t="inlineStr">
        <is>
          <t>5th ed.</t>
        </is>
      </c>
      <c r="Q674" t="inlineStr">
        <is>
          <t>eng</t>
        </is>
      </c>
      <c r="R674" t="inlineStr">
        <is>
          <t>mdu</t>
        </is>
      </c>
      <c r="T674" t="inlineStr">
        <is>
          <t xml:space="preserve">W  </t>
        </is>
      </c>
      <c r="U674" t="n">
        <v>2</v>
      </c>
      <c r="V674" t="n">
        <v>2</v>
      </c>
      <c r="W674" t="inlineStr">
        <is>
          <t>2005-04-19</t>
        </is>
      </c>
      <c r="X674" t="inlineStr">
        <is>
          <t>2005-04-19</t>
        </is>
      </c>
      <c r="Y674" t="inlineStr">
        <is>
          <t>2004-06-08</t>
        </is>
      </c>
      <c r="Z674" t="inlineStr">
        <is>
          <t>2004-06-08</t>
        </is>
      </c>
      <c r="AA674" t="n">
        <v>174</v>
      </c>
      <c r="AB674" t="n">
        <v>143</v>
      </c>
      <c r="AC674" t="n">
        <v>514</v>
      </c>
      <c r="AD674" t="n">
        <v>1</v>
      </c>
      <c r="AE674" t="n">
        <v>3</v>
      </c>
      <c r="AF674" t="n">
        <v>4</v>
      </c>
      <c r="AG674" t="n">
        <v>27</v>
      </c>
      <c r="AH674" t="n">
        <v>1</v>
      </c>
      <c r="AI674" t="n">
        <v>9</v>
      </c>
      <c r="AJ674" t="n">
        <v>1</v>
      </c>
      <c r="AK674" t="n">
        <v>7</v>
      </c>
      <c r="AL674" t="n">
        <v>3</v>
      </c>
      <c r="AM674" t="n">
        <v>13</v>
      </c>
      <c r="AN674" t="n">
        <v>0</v>
      </c>
      <c r="AO674" t="n">
        <v>2</v>
      </c>
      <c r="AP674" t="n">
        <v>0</v>
      </c>
      <c r="AQ674" t="n">
        <v>3</v>
      </c>
      <c r="AR674" t="inlineStr">
        <is>
          <t>No</t>
        </is>
      </c>
      <c r="AS674" t="inlineStr">
        <is>
          <t>No</t>
        </is>
      </c>
      <c r="AU674">
        <f>HYPERLINK("https://creighton-primo.hosted.exlibrisgroup.com/primo-explore/search?tab=default_tab&amp;search_scope=EVERYTHING&amp;vid=01CRU&amp;lang=en_US&amp;offset=0&amp;query=any,contains,991000373889702656","Catalog Record")</f>
        <v/>
      </c>
      <c r="AV674">
        <f>HYPERLINK("http://www.worldcat.org/oclc/49055489","WorldCat Record")</f>
        <v/>
      </c>
      <c r="AW674" t="inlineStr">
        <is>
          <t>4927459416:eng</t>
        </is>
      </c>
      <c r="AX674" t="inlineStr">
        <is>
          <t>49055489</t>
        </is>
      </c>
      <c r="AY674" t="inlineStr">
        <is>
          <t>991000373889702656</t>
        </is>
      </c>
      <c r="AZ674" t="inlineStr">
        <is>
          <t>991000373889702656</t>
        </is>
      </c>
      <c r="BA674" t="inlineStr">
        <is>
          <t>2265163250002656</t>
        </is>
      </c>
      <c r="BB674" t="inlineStr">
        <is>
          <t>BOOK</t>
        </is>
      </c>
      <c r="BD674" t="inlineStr">
        <is>
          <t>9780834219373</t>
        </is>
      </c>
      <c r="BE674" t="inlineStr">
        <is>
          <t>30001004920569</t>
        </is>
      </c>
      <c r="BF674" t="inlineStr">
        <is>
          <t>893633835</t>
        </is>
      </c>
    </row>
    <row r="675">
      <c r="A675" t="inlineStr">
        <is>
          <t>No</t>
        </is>
      </c>
      <c r="B675" t="inlineStr">
        <is>
          <t>CUHSL</t>
        </is>
      </c>
      <c r="C675" t="inlineStr">
        <is>
          <t>SHELVES</t>
        </is>
      </c>
      <c r="D675" t="inlineStr">
        <is>
          <t>W 74 L477 1997</t>
        </is>
      </c>
      <c r="E675" t="inlineStr">
        <is>
          <t>0                      W  0074000L  477         1997</t>
        </is>
      </c>
      <c r="F675" t="inlineStr">
        <is>
          <t>Capitation : the physicians' guide / David W. Lee.</t>
        </is>
      </c>
      <c r="H675" t="inlineStr">
        <is>
          <t>No</t>
        </is>
      </c>
      <c r="I675" t="inlineStr">
        <is>
          <t>1</t>
        </is>
      </c>
      <c r="J675" t="inlineStr">
        <is>
          <t>No</t>
        </is>
      </c>
      <c r="K675" t="inlineStr">
        <is>
          <t>No</t>
        </is>
      </c>
      <c r="L675" t="inlineStr">
        <is>
          <t>0</t>
        </is>
      </c>
      <c r="M675" t="inlineStr">
        <is>
          <t>Lee, David W. (David William), 1961-</t>
        </is>
      </c>
      <c r="N675" t="inlineStr">
        <is>
          <t>Chicago, IL : American Medical Association, c1997.</t>
        </is>
      </c>
      <c r="O675" t="inlineStr">
        <is>
          <t>1997</t>
        </is>
      </c>
      <c r="Q675" t="inlineStr">
        <is>
          <t>eng</t>
        </is>
      </c>
      <c r="R675" t="inlineStr">
        <is>
          <t>ilu</t>
        </is>
      </c>
      <c r="T675" t="inlineStr">
        <is>
          <t xml:space="preserve">W  </t>
        </is>
      </c>
      <c r="U675" t="n">
        <v>6</v>
      </c>
      <c r="V675" t="n">
        <v>6</v>
      </c>
      <c r="W675" t="inlineStr">
        <is>
          <t>2003-03-06</t>
        </is>
      </c>
      <c r="X675" t="inlineStr">
        <is>
          <t>2003-03-06</t>
        </is>
      </c>
      <c r="Y675" t="inlineStr">
        <is>
          <t>1998-02-12</t>
        </is>
      </c>
      <c r="Z675" t="inlineStr">
        <is>
          <t>1998-02-12</t>
        </is>
      </c>
      <c r="AA675" t="n">
        <v>38</v>
      </c>
      <c r="AB675" t="n">
        <v>38</v>
      </c>
      <c r="AC675" t="n">
        <v>92</v>
      </c>
      <c r="AD675" t="n">
        <v>1</v>
      </c>
      <c r="AE675" t="n">
        <v>1</v>
      </c>
      <c r="AF675" t="n">
        <v>1</v>
      </c>
      <c r="AG675" t="n">
        <v>4</v>
      </c>
      <c r="AH675" t="n">
        <v>0</v>
      </c>
      <c r="AI675" t="n">
        <v>2</v>
      </c>
      <c r="AJ675" t="n">
        <v>1</v>
      </c>
      <c r="AK675" t="n">
        <v>1</v>
      </c>
      <c r="AL675" t="n">
        <v>0</v>
      </c>
      <c r="AM675" t="n">
        <v>0</v>
      </c>
      <c r="AN675" t="n">
        <v>0</v>
      </c>
      <c r="AO675" t="n">
        <v>0</v>
      </c>
      <c r="AP675" t="n">
        <v>0</v>
      </c>
      <c r="AQ675" t="n">
        <v>1</v>
      </c>
      <c r="AR675" t="inlineStr">
        <is>
          <t>No</t>
        </is>
      </c>
      <c r="AS675" t="inlineStr">
        <is>
          <t>No</t>
        </is>
      </c>
      <c r="AU675">
        <f>HYPERLINK("https://creighton-primo.hosted.exlibrisgroup.com/primo-explore/search?tab=default_tab&amp;search_scope=EVERYTHING&amp;vid=01CRU&amp;lang=en_US&amp;offset=0&amp;query=any,contains,991000268769702656","Catalog Record")</f>
        <v/>
      </c>
      <c r="AV675">
        <f>HYPERLINK("http://www.worldcat.org/oclc/38422766","WorldCat Record")</f>
        <v/>
      </c>
      <c r="AW675" t="inlineStr">
        <is>
          <t>652726:eng</t>
        </is>
      </c>
      <c r="AX675" t="inlineStr">
        <is>
          <t>38422766</t>
        </is>
      </c>
      <c r="AY675" t="inlineStr">
        <is>
          <t>991000268769702656</t>
        </is>
      </c>
      <c r="AZ675" t="inlineStr">
        <is>
          <t>991000268769702656</t>
        </is>
      </c>
      <c r="BA675" t="inlineStr">
        <is>
          <t>2269566390002656</t>
        </is>
      </c>
      <c r="BB675" t="inlineStr">
        <is>
          <t>BOOK</t>
        </is>
      </c>
      <c r="BD675" t="inlineStr">
        <is>
          <t>9780899708676</t>
        </is>
      </c>
      <c r="BE675" t="inlineStr">
        <is>
          <t>30001003743962</t>
        </is>
      </c>
      <c r="BF675" t="inlineStr">
        <is>
          <t>893269313</t>
        </is>
      </c>
    </row>
    <row r="676">
      <c r="A676" t="inlineStr">
        <is>
          <t>No</t>
        </is>
      </c>
      <c r="B676" t="inlineStr">
        <is>
          <t>CUHSL</t>
        </is>
      </c>
      <c r="C676" t="inlineStr">
        <is>
          <t>SHELVES</t>
        </is>
      </c>
      <c r="D676" t="inlineStr">
        <is>
          <t>W 74 L672s 1988</t>
        </is>
      </c>
      <c r="E676" t="inlineStr">
        <is>
          <t>0                      W  0074000L  672s        1988</t>
        </is>
      </c>
      <c r="F676" t="inlineStr">
        <is>
          <t>Setting the record straight : the provision of uncompensated care by not-for-profit hospitals / by Lawrence S. Lewin, Timothy J. Eckels, Dale Roenigk.</t>
        </is>
      </c>
      <c r="H676" t="inlineStr">
        <is>
          <t>No</t>
        </is>
      </c>
      <c r="I676" t="inlineStr">
        <is>
          <t>1</t>
        </is>
      </c>
      <c r="J676" t="inlineStr">
        <is>
          <t>No</t>
        </is>
      </c>
      <c r="K676" t="inlineStr">
        <is>
          <t>No</t>
        </is>
      </c>
      <c r="L676" t="inlineStr">
        <is>
          <t>0</t>
        </is>
      </c>
      <c r="M676" t="inlineStr">
        <is>
          <t>Lewin, Lawrence S.</t>
        </is>
      </c>
      <c r="N676" t="inlineStr">
        <is>
          <t>[Washington, D.C.] : Lewin and Associates, Inc. ; Volunteer Trustees of Not-for-Profit Hospitals Foundation for Research and Education, c1988.</t>
        </is>
      </c>
      <c r="O676" t="inlineStr">
        <is>
          <t>1988</t>
        </is>
      </c>
      <c r="Q676" t="inlineStr">
        <is>
          <t>eng</t>
        </is>
      </c>
      <c r="R676" t="inlineStr">
        <is>
          <t>dcu</t>
        </is>
      </c>
      <c r="T676" t="inlineStr">
        <is>
          <t xml:space="preserve">W  </t>
        </is>
      </c>
      <c r="U676" t="n">
        <v>3</v>
      </c>
      <c r="V676" t="n">
        <v>3</v>
      </c>
      <c r="W676" t="inlineStr">
        <is>
          <t>1997-12-18</t>
        </is>
      </c>
      <c r="X676" t="inlineStr">
        <is>
          <t>1997-12-18</t>
        </is>
      </c>
      <c r="Y676" t="inlineStr">
        <is>
          <t>1990-09-12</t>
        </is>
      </c>
      <c r="Z676" t="inlineStr">
        <is>
          <t>1990-09-12</t>
        </is>
      </c>
      <c r="AA676" t="n">
        <v>2</v>
      </c>
      <c r="AB676" t="n">
        <v>2</v>
      </c>
      <c r="AC676" t="n">
        <v>2</v>
      </c>
      <c r="AD676" t="n">
        <v>1</v>
      </c>
      <c r="AE676" t="n">
        <v>1</v>
      </c>
      <c r="AF676" t="n">
        <v>0</v>
      </c>
      <c r="AG676" t="n">
        <v>0</v>
      </c>
      <c r="AH676" t="n">
        <v>0</v>
      </c>
      <c r="AI676" t="n">
        <v>0</v>
      </c>
      <c r="AJ676" t="n">
        <v>0</v>
      </c>
      <c r="AK676" t="n">
        <v>0</v>
      </c>
      <c r="AL676" t="n">
        <v>0</v>
      </c>
      <c r="AM676" t="n">
        <v>0</v>
      </c>
      <c r="AN676" t="n">
        <v>0</v>
      </c>
      <c r="AO676" t="n">
        <v>0</v>
      </c>
      <c r="AP676" t="n">
        <v>0</v>
      </c>
      <c r="AQ676" t="n">
        <v>0</v>
      </c>
      <c r="AR676" t="inlineStr">
        <is>
          <t>No</t>
        </is>
      </c>
      <c r="AS676" t="inlineStr">
        <is>
          <t>No</t>
        </is>
      </c>
      <c r="AU676">
        <f>HYPERLINK("https://creighton-primo.hosted.exlibrisgroup.com/primo-explore/search?tab=default_tab&amp;search_scope=EVERYTHING&amp;vid=01CRU&amp;lang=en_US&amp;offset=0&amp;query=any,contains,991000533689702656","Catalog Record")</f>
        <v/>
      </c>
      <c r="AV676">
        <f>HYPERLINK("http://www.worldcat.org/oclc/23717545","WorldCat Record")</f>
        <v/>
      </c>
      <c r="AW676" t="inlineStr">
        <is>
          <t>25050412:eng</t>
        </is>
      </c>
      <c r="AX676" t="inlineStr">
        <is>
          <t>23717545</t>
        </is>
      </c>
      <c r="AY676" t="inlineStr">
        <is>
          <t>991000533689702656</t>
        </is>
      </c>
      <c r="AZ676" t="inlineStr">
        <is>
          <t>991000533689702656</t>
        </is>
      </c>
      <c r="BA676" t="inlineStr">
        <is>
          <t>22101747240002656</t>
        </is>
      </c>
      <c r="BB676" t="inlineStr">
        <is>
          <t>BOOK</t>
        </is>
      </c>
      <c r="BE676" t="inlineStr">
        <is>
          <t>30001001996752</t>
        </is>
      </c>
      <c r="BF676" t="inlineStr">
        <is>
          <t>893630768</t>
        </is>
      </c>
    </row>
    <row r="677">
      <c r="A677" t="inlineStr">
        <is>
          <t>No</t>
        </is>
      </c>
      <c r="B677" t="inlineStr">
        <is>
          <t>CUHSL</t>
        </is>
      </c>
      <c r="C677" t="inlineStr">
        <is>
          <t>SHELVES</t>
        </is>
      </c>
      <c r="D677" t="inlineStr">
        <is>
          <t>W 74 M235 1991</t>
        </is>
      </c>
      <c r="E677" t="inlineStr">
        <is>
          <t>0                      W  0074000M  235         1991</t>
        </is>
      </c>
      <c r="F677" t="inlineStr">
        <is>
          <t>Making managed healthcare work : a practical guide to strategies and solutions / [edited by] Peter Boland.</t>
        </is>
      </c>
      <c r="H677" t="inlineStr">
        <is>
          <t>No</t>
        </is>
      </c>
      <c r="I677" t="inlineStr">
        <is>
          <t>1</t>
        </is>
      </c>
      <c r="J677" t="inlineStr">
        <is>
          <t>No</t>
        </is>
      </c>
      <c r="K677" t="inlineStr">
        <is>
          <t>No</t>
        </is>
      </c>
      <c r="L677" t="inlineStr">
        <is>
          <t>0</t>
        </is>
      </c>
      <c r="N677" t="inlineStr">
        <is>
          <t>New York : McGraw-Hill, Health Professions Division, c1991.</t>
        </is>
      </c>
      <c r="O677" t="inlineStr">
        <is>
          <t>1991</t>
        </is>
      </c>
      <c r="Q677" t="inlineStr">
        <is>
          <t>eng</t>
        </is>
      </c>
      <c r="R677" t="inlineStr">
        <is>
          <t>nyu</t>
        </is>
      </c>
      <c r="T677" t="inlineStr">
        <is>
          <t xml:space="preserve">W  </t>
        </is>
      </c>
      <c r="U677" t="n">
        <v>19</v>
      </c>
      <c r="V677" t="n">
        <v>19</v>
      </c>
      <c r="W677" t="inlineStr">
        <is>
          <t>1997-10-02</t>
        </is>
      </c>
      <c r="X677" t="inlineStr">
        <is>
          <t>1997-10-02</t>
        </is>
      </c>
      <c r="Y677" t="inlineStr">
        <is>
          <t>1990-11-01</t>
        </is>
      </c>
      <c r="Z677" t="inlineStr">
        <is>
          <t>1990-11-01</t>
        </is>
      </c>
      <c r="AA677" t="n">
        <v>109</v>
      </c>
      <c r="AB677" t="n">
        <v>96</v>
      </c>
      <c r="AC677" t="n">
        <v>274</v>
      </c>
      <c r="AD677" t="n">
        <v>1</v>
      </c>
      <c r="AE677" t="n">
        <v>2</v>
      </c>
      <c r="AF677" t="n">
        <v>4</v>
      </c>
      <c r="AG677" t="n">
        <v>13</v>
      </c>
      <c r="AH677" t="n">
        <v>1</v>
      </c>
      <c r="AI677" t="n">
        <v>4</v>
      </c>
      <c r="AJ677" t="n">
        <v>3</v>
      </c>
      <c r="AK677" t="n">
        <v>4</v>
      </c>
      <c r="AL677" t="n">
        <v>2</v>
      </c>
      <c r="AM677" t="n">
        <v>8</v>
      </c>
      <c r="AN677" t="n">
        <v>0</v>
      </c>
      <c r="AO677" t="n">
        <v>1</v>
      </c>
      <c r="AP677" t="n">
        <v>0</v>
      </c>
      <c r="AQ677" t="n">
        <v>0</v>
      </c>
      <c r="AR677" t="inlineStr">
        <is>
          <t>No</t>
        </is>
      </c>
      <c r="AS677" t="inlineStr">
        <is>
          <t>No</t>
        </is>
      </c>
      <c r="AU677">
        <f>HYPERLINK("https://creighton-primo.hosted.exlibrisgroup.com/primo-explore/search?tab=default_tab&amp;search_scope=EVERYTHING&amp;vid=01CRU&amp;lang=en_US&amp;offset=0&amp;query=any,contains,991000774269702656","Catalog Record")</f>
        <v/>
      </c>
      <c r="AV677">
        <f>HYPERLINK("http://www.worldcat.org/oclc/21162971","WorldCat Record")</f>
        <v/>
      </c>
      <c r="AW677" t="inlineStr">
        <is>
          <t>55309374:eng</t>
        </is>
      </c>
      <c r="AX677" t="inlineStr">
        <is>
          <t>21162971</t>
        </is>
      </c>
      <c r="AY677" t="inlineStr">
        <is>
          <t>991000774269702656</t>
        </is>
      </c>
      <c r="AZ677" t="inlineStr">
        <is>
          <t>991000774269702656</t>
        </is>
      </c>
      <c r="BA677" t="inlineStr">
        <is>
          <t>2258471300002656</t>
        </is>
      </c>
      <c r="BB677" t="inlineStr">
        <is>
          <t>BOOK</t>
        </is>
      </c>
      <c r="BD677" t="inlineStr">
        <is>
          <t>9780070063747</t>
        </is>
      </c>
      <c r="BE677" t="inlineStr">
        <is>
          <t>30001002062851</t>
        </is>
      </c>
      <c r="BF677" t="inlineStr">
        <is>
          <t>893161125</t>
        </is>
      </c>
    </row>
    <row r="678">
      <c r="A678" t="inlineStr">
        <is>
          <t>No</t>
        </is>
      </c>
      <c r="B678" t="inlineStr">
        <is>
          <t>CUHSL</t>
        </is>
      </c>
      <c r="C678" t="inlineStr">
        <is>
          <t>SHELVES</t>
        </is>
      </c>
      <c r="D678" t="inlineStr">
        <is>
          <t>W 74 M4889 1989</t>
        </is>
      </c>
      <c r="E678" t="inlineStr">
        <is>
          <t>0                      W  0074000M  4889        1989</t>
        </is>
      </c>
      <c r="F678" t="inlineStr">
        <is>
          <t>The Medical cost-containment crisis : fears, opinions, and facts / edited by Jack D. McCue.</t>
        </is>
      </c>
      <c r="H678" t="inlineStr">
        <is>
          <t>No</t>
        </is>
      </c>
      <c r="I678" t="inlineStr">
        <is>
          <t>1</t>
        </is>
      </c>
      <c r="J678" t="inlineStr">
        <is>
          <t>No</t>
        </is>
      </c>
      <c r="K678" t="inlineStr">
        <is>
          <t>No</t>
        </is>
      </c>
      <c r="L678" t="inlineStr">
        <is>
          <t>0</t>
        </is>
      </c>
      <c r="N678" t="inlineStr">
        <is>
          <t>Ann Arbor, Mich. : Health Administration Press, c1989.</t>
        </is>
      </c>
      <c r="O678" t="inlineStr">
        <is>
          <t>1989</t>
        </is>
      </c>
      <c r="Q678" t="inlineStr">
        <is>
          <t>eng</t>
        </is>
      </c>
      <c r="R678" t="inlineStr">
        <is>
          <t>xxu</t>
        </is>
      </c>
      <c r="T678" t="inlineStr">
        <is>
          <t xml:space="preserve">W  </t>
        </is>
      </c>
      <c r="U678" t="n">
        <v>15</v>
      </c>
      <c r="V678" t="n">
        <v>15</v>
      </c>
      <c r="W678" t="inlineStr">
        <is>
          <t>2001-11-20</t>
        </is>
      </c>
      <c r="X678" t="inlineStr">
        <is>
          <t>2001-11-20</t>
        </is>
      </c>
      <c r="Y678" t="inlineStr">
        <is>
          <t>1989-04-24</t>
        </is>
      </c>
      <c r="Z678" t="inlineStr">
        <is>
          <t>1989-04-24</t>
        </is>
      </c>
      <c r="AA678" t="n">
        <v>379</v>
      </c>
      <c r="AB678" t="n">
        <v>350</v>
      </c>
      <c r="AC678" t="n">
        <v>351</v>
      </c>
      <c r="AD678" t="n">
        <v>1</v>
      </c>
      <c r="AE678" t="n">
        <v>1</v>
      </c>
      <c r="AF678" t="n">
        <v>24</v>
      </c>
      <c r="AG678" t="n">
        <v>24</v>
      </c>
      <c r="AH678" t="n">
        <v>6</v>
      </c>
      <c r="AI678" t="n">
        <v>6</v>
      </c>
      <c r="AJ678" t="n">
        <v>5</v>
      </c>
      <c r="AK678" t="n">
        <v>5</v>
      </c>
      <c r="AL678" t="n">
        <v>15</v>
      </c>
      <c r="AM678" t="n">
        <v>15</v>
      </c>
      <c r="AN678" t="n">
        <v>0</v>
      </c>
      <c r="AO678" t="n">
        <v>0</v>
      </c>
      <c r="AP678" t="n">
        <v>4</v>
      </c>
      <c r="AQ678" t="n">
        <v>4</v>
      </c>
      <c r="AR678" t="inlineStr">
        <is>
          <t>No</t>
        </is>
      </c>
      <c r="AS678" t="inlineStr">
        <is>
          <t>Yes</t>
        </is>
      </c>
      <c r="AT678">
        <f>HYPERLINK("http://catalog.hathitrust.org/Record/001542209","HathiTrust Record")</f>
        <v/>
      </c>
      <c r="AU678">
        <f>HYPERLINK("https://creighton-primo.hosted.exlibrisgroup.com/primo-explore/search?tab=default_tab&amp;search_scope=EVERYTHING&amp;vid=01CRU&amp;lang=en_US&amp;offset=0&amp;query=any,contains,991001244669702656","Catalog Record")</f>
        <v/>
      </c>
      <c r="AV678">
        <f>HYPERLINK("http://www.worldcat.org/oclc/18982652","WorldCat Record")</f>
        <v/>
      </c>
      <c r="AW678" t="inlineStr">
        <is>
          <t>55166209:eng</t>
        </is>
      </c>
      <c r="AX678" t="inlineStr">
        <is>
          <t>18982652</t>
        </is>
      </c>
      <c r="AY678" t="inlineStr">
        <is>
          <t>991001244669702656</t>
        </is>
      </c>
      <c r="AZ678" t="inlineStr">
        <is>
          <t>991001244669702656</t>
        </is>
      </c>
      <c r="BA678" t="inlineStr">
        <is>
          <t>2270850450002656</t>
        </is>
      </c>
      <c r="BB678" t="inlineStr">
        <is>
          <t>BOOK</t>
        </is>
      </c>
      <c r="BD678" t="inlineStr">
        <is>
          <t>9780910701433</t>
        </is>
      </c>
      <c r="BE678" t="inlineStr">
        <is>
          <t>30001001676685</t>
        </is>
      </c>
      <c r="BF678" t="inlineStr">
        <is>
          <t>893736353</t>
        </is>
      </c>
    </row>
    <row r="679">
      <c r="A679" t="inlineStr">
        <is>
          <t>No</t>
        </is>
      </c>
      <c r="B679" t="inlineStr">
        <is>
          <t>CUHSL</t>
        </is>
      </c>
      <c r="C679" t="inlineStr">
        <is>
          <t>SHELVES</t>
        </is>
      </c>
      <c r="D679" t="inlineStr">
        <is>
          <t>W 74 P964 1980</t>
        </is>
      </c>
      <c r="E679" t="inlineStr">
        <is>
          <t>0                      W  0074000P  964         1980</t>
        </is>
      </c>
      <c r="F679" t="inlineStr">
        <is>
          <t>Profile of medical practice : 1980.</t>
        </is>
      </c>
      <c r="H679" t="inlineStr">
        <is>
          <t>No</t>
        </is>
      </c>
      <c r="I679" t="inlineStr">
        <is>
          <t>1</t>
        </is>
      </c>
      <c r="J679" t="inlineStr">
        <is>
          <t>No</t>
        </is>
      </c>
      <c r="K679" t="inlineStr">
        <is>
          <t>No</t>
        </is>
      </c>
      <c r="L679" t="inlineStr">
        <is>
          <t>0</t>
        </is>
      </c>
      <c r="N679" t="inlineStr">
        <is>
          <t>Chicago : Center for Health Services Research and Development, American Medical Assn, 1980.</t>
        </is>
      </c>
      <c r="Q679" t="inlineStr">
        <is>
          <t>eng</t>
        </is>
      </c>
      <c r="R679" t="inlineStr">
        <is>
          <t>|||</t>
        </is>
      </c>
      <c r="T679" t="inlineStr">
        <is>
          <t xml:space="preserve">W  </t>
        </is>
      </c>
      <c r="U679" t="n">
        <v>7</v>
      </c>
      <c r="V679" t="n">
        <v>7</v>
      </c>
      <c r="W679" t="inlineStr">
        <is>
          <t>2006-11-22</t>
        </is>
      </c>
      <c r="X679" t="inlineStr">
        <is>
          <t>2006-11-22</t>
        </is>
      </c>
      <c r="Y679" t="inlineStr">
        <is>
          <t>1988-02-19</t>
        </is>
      </c>
      <c r="Z679" t="inlineStr">
        <is>
          <t>1988-02-19</t>
        </is>
      </c>
      <c r="AA679" t="n">
        <v>63</v>
      </c>
      <c r="AB679" t="n">
        <v>59</v>
      </c>
      <c r="AC679" t="n">
        <v>62</v>
      </c>
      <c r="AD679" t="n">
        <v>1</v>
      </c>
      <c r="AE679" t="n">
        <v>1</v>
      </c>
      <c r="AF679" t="n">
        <v>0</v>
      </c>
      <c r="AG679" t="n">
        <v>0</v>
      </c>
      <c r="AH679" t="n">
        <v>0</v>
      </c>
      <c r="AI679" t="n">
        <v>0</v>
      </c>
      <c r="AJ679" t="n">
        <v>0</v>
      </c>
      <c r="AK679" t="n">
        <v>0</v>
      </c>
      <c r="AL679" t="n">
        <v>0</v>
      </c>
      <c r="AM679" t="n">
        <v>0</v>
      </c>
      <c r="AN679" t="n">
        <v>0</v>
      </c>
      <c r="AO679" t="n">
        <v>0</v>
      </c>
      <c r="AP679" t="n">
        <v>0</v>
      </c>
      <c r="AQ679" t="n">
        <v>0</v>
      </c>
      <c r="AR679" t="inlineStr">
        <is>
          <t>No</t>
        </is>
      </c>
      <c r="AS679" t="inlineStr">
        <is>
          <t>Yes</t>
        </is>
      </c>
      <c r="AT679">
        <f>HYPERLINK("http://catalog.hathitrust.org/Record/000505988","HathiTrust Record")</f>
        <v/>
      </c>
      <c r="AU679">
        <f>HYPERLINK("https://creighton-primo.hosted.exlibrisgroup.com/primo-explore/search?tab=default_tab&amp;search_scope=EVERYTHING&amp;vid=01CRU&amp;lang=en_US&amp;offset=0&amp;query=any,contains,991001286669702656","Catalog Record")</f>
        <v/>
      </c>
      <c r="AV679">
        <f>HYPERLINK("http://www.worldcat.org/oclc/2254291","WorldCat Record")</f>
        <v/>
      </c>
      <c r="AW679" t="inlineStr">
        <is>
          <t>3859928082:eng</t>
        </is>
      </c>
      <c r="AX679" t="inlineStr">
        <is>
          <t>2254291</t>
        </is>
      </c>
      <c r="AY679" t="inlineStr">
        <is>
          <t>991001286669702656</t>
        </is>
      </c>
      <c r="AZ679" t="inlineStr">
        <is>
          <t>991001286669702656</t>
        </is>
      </c>
      <c r="BA679" t="inlineStr">
        <is>
          <t>2268630020002656</t>
        </is>
      </c>
      <c r="BB679" t="inlineStr">
        <is>
          <t>BOOK</t>
        </is>
      </c>
      <c r="BE679" t="inlineStr">
        <is>
          <t>30001000388167</t>
        </is>
      </c>
      <c r="BF679" t="inlineStr">
        <is>
          <t>893727413</t>
        </is>
      </c>
    </row>
    <row r="680">
      <c r="A680" t="inlineStr">
        <is>
          <t>No</t>
        </is>
      </c>
      <c r="B680" t="inlineStr">
        <is>
          <t>CUHSL</t>
        </is>
      </c>
      <c r="C680" t="inlineStr">
        <is>
          <t>SHELVES</t>
        </is>
      </c>
      <c r="D680" t="inlineStr">
        <is>
          <t>W74 R382 2001</t>
        </is>
      </c>
      <c r="E680" t="inlineStr">
        <is>
          <t>0                      W  0074000R  382         2001</t>
        </is>
      </c>
      <c r="F680" t="inlineStr">
        <is>
          <t>Relative values for physicians / Relative Value Studies, Inc.</t>
        </is>
      </c>
      <c r="H680" t="inlineStr">
        <is>
          <t>No</t>
        </is>
      </c>
      <c r="I680" t="inlineStr">
        <is>
          <t>1</t>
        </is>
      </c>
      <c r="J680" t="inlineStr">
        <is>
          <t>No</t>
        </is>
      </c>
      <c r="K680" t="inlineStr">
        <is>
          <t>No</t>
        </is>
      </c>
      <c r="L680" t="inlineStr">
        <is>
          <t>0</t>
        </is>
      </c>
      <c r="N680" t="inlineStr">
        <is>
          <t>Reston, Va. : St. Anthony Pub., c2001.</t>
        </is>
      </c>
      <c r="O680" t="inlineStr">
        <is>
          <t>2001</t>
        </is>
      </c>
      <c r="Q680" t="inlineStr">
        <is>
          <t>eng</t>
        </is>
      </c>
      <c r="R680" t="inlineStr">
        <is>
          <t>vau</t>
        </is>
      </c>
      <c r="T680" t="inlineStr">
        <is>
          <t xml:space="preserve">W  </t>
        </is>
      </c>
      <c r="U680" t="n">
        <v>2</v>
      </c>
      <c r="V680" t="n">
        <v>2</v>
      </c>
      <c r="W680" t="inlineStr">
        <is>
          <t>2003-03-27</t>
        </is>
      </c>
      <c r="X680" t="inlineStr">
        <is>
          <t>2003-03-27</t>
        </is>
      </c>
      <c r="Y680" t="inlineStr">
        <is>
          <t>2002-04-17</t>
        </is>
      </c>
      <c r="Z680" t="inlineStr">
        <is>
          <t>2002-04-17</t>
        </is>
      </c>
      <c r="AA680" t="n">
        <v>4</v>
      </c>
      <c r="AB680" t="n">
        <v>4</v>
      </c>
      <c r="AC680" t="n">
        <v>50</v>
      </c>
      <c r="AD680" t="n">
        <v>1</v>
      </c>
      <c r="AE680" t="n">
        <v>1</v>
      </c>
      <c r="AF680" t="n">
        <v>0</v>
      </c>
      <c r="AG680" t="n">
        <v>1</v>
      </c>
      <c r="AH680" t="n">
        <v>0</v>
      </c>
      <c r="AI680" t="n">
        <v>0</v>
      </c>
      <c r="AJ680" t="n">
        <v>0</v>
      </c>
      <c r="AK680" t="n">
        <v>0</v>
      </c>
      <c r="AL680" t="n">
        <v>0</v>
      </c>
      <c r="AM680" t="n">
        <v>1</v>
      </c>
      <c r="AN680" t="n">
        <v>0</v>
      </c>
      <c r="AO680" t="n">
        <v>0</v>
      </c>
      <c r="AP680" t="n">
        <v>0</v>
      </c>
      <c r="AQ680" t="n">
        <v>0</v>
      </c>
      <c r="AR680" t="inlineStr">
        <is>
          <t>No</t>
        </is>
      </c>
      <c r="AS680" t="inlineStr">
        <is>
          <t>No</t>
        </is>
      </c>
      <c r="AU680">
        <f>HYPERLINK("https://creighton-primo.hosted.exlibrisgroup.com/primo-explore/search?tab=default_tab&amp;search_scope=EVERYTHING&amp;vid=01CRU&amp;lang=en_US&amp;offset=0&amp;query=any,contains,991000308059702656","Catalog Record")</f>
        <v/>
      </c>
      <c r="AV680">
        <f>HYPERLINK("http://www.worldcat.org/oclc/43874528","WorldCat Record")</f>
        <v/>
      </c>
      <c r="AW680" t="inlineStr">
        <is>
          <t>54609772:eng</t>
        </is>
      </c>
      <c r="AX680" t="inlineStr">
        <is>
          <t>43874528</t>
        </is>
      </c>
      <c r="AY680" t="inlineStr">
        <is>
          <t>991000308059702656</t>
        </is>
      </c>
      <c r="AZ680" t="inlineStr">
        <is>
          <t>991000308059702656</t>
        </is>
      </c>
      <c r="BA680" t="inlineStr">
        <is>
          <t>2255964050002656</t>
        </is>
      </c>
      <c r="BB680" t="inlineStr">
        <is>
          <t>BOOK</t>
        </is>
      </c>
      <c r="BD680" t="inlineStr">
        <is>
          <t>9781563296765</t>
        </is>
      </c>
      <c r="BE680" t="inlineStr">
        <is>
          <t>30001004237337</t>
        </is>
      </c>
      <c r="BF680" t="inlineStr">
        <is>
          <t>893359423</t>
        </is>
      </c>
    </row>
    <row r="681">
      <c r="A681" t="inlineStr">
        <is>
          <t>No</t>
        </is>
      </c>
      <c r="B681" t="inlineStr">
        <is>
          <t>CUHSL</t>
        </is>
      </c>
      <c r="C681" t="inlineStr">
        <is>
          <t>SHELVES</t>
        </is>
      </c>
      <c r="D681" t="inlineStr">
        <is>
          <t>W 74 R497e 2003</t>
        </is>
      </c>
      <c r="E681" t="inlineStr">
        <is>
          <t>0                      W  0074000R  497e        2003</t>
        </is>
      </c>
      <c r="F681" t="inlineStr">
        <is>
          <t>The economics of health reconsidered / Thomas Rice.</t>
        </is>
      </c>
      <c r="H681" t="inlineStr">
        <is>
          <t>No</t>
        </is>
      </c>
      <c r="I681" t="inlineStr">
        <is>
          <t>1</t>
        </is>
      </c>
      <c r="J681" t="inlineStr">
        <is>
          <t>No</t>
        </is>
      </c>
      <c r="K681" t="inlineStr">
        <is>
          <t>Yes</t>
        </is>
      </c>
      <c r="L681" t="inlineStr">
        <is>
          <t>3</t>
        </is>
      </c>
      <c r="M681" t="inlineStr">
        <is>
          <t>Rice, Thomas H.</t>
        </is>
      </c>
      <c r="N681" t="inlineStr">
        <is>
          <t>Chicago : Health Administration Press, c2003.</t>
        </is>
      </c>
      <c r="O681" t="inlineStr">
        <is>
          <t>2003</t>
        </is>
      </c>
      <c r="P681" t="inlineStr">
        <is>
          <t>2nd ed.</t>
        </is>
      </c>
      <c r="Q681" t="inlineStr">
        <is>
          <t>eng</t>
        </is>
      </c>
      <c r="R681" t="inlineStr">
        <is>
          <t>ilu</t>
        </is>
      </c>
      <c r="T681" t="inlineStr">
        <is>
          <t xml:space="preserve">W  </t>
        </is>
      </c>
      <c r="U681" t="n">
        <v>0</v>
      </c>
      <c r="V681" t="n">
        <v>0</v>
      </c>
      <c r="W681" t="inlineStr">
        <is>
          <t>2004-09-09</t>
        </is>
      </c>
      <c r="X681" t="inlineStr">
        <is>
          <t>2004-09-09</t>
        </is>
      </c>
      <c r="Y681" t="inlineStr">
        <is>
          <t>2004-09-08</t>
        </is>
      </c>
      <c r="Z681" t="inlineStr">
        <is>
          <t>2004-09-08</t>
        </is>
      </c>
      <c r="AA681" t="n">
        <v>179</v>
      </c>
      <c r="AB681" t="n">
        <v>138</v>
      </c>
      <c r="AC681" t="n">
        <v>1877</v>
      </c>
      <c r="AD681" t="n">
        <v>2</v>
      </c>
      <c r="AE681" t="n">
        <v>46</v>
      </c>
      <c r="AF681" t="n">
        <v>10</v>
      </c>
      <c r="AG681" t="n">
        <v>56</v>
      </c>
      <c r="AH681" t="n">
        <v>1</v>
      </c>
      <c r="AI681" t="n">
        <v>17</v>
      </c>
      <c r="AJ681" t="n">
        <v>3</v>
      </c>
      <c r="AK681" t="n">
        <v>11</v>
      </c>
      <c r="AL681" t="n">
        <v>6</v>
      </c>
      <c r="AM681" t="n">
        <v>17</v>
      </c>
      <c r="AN681" t="n">
        <v>1</v>
      </c>
      <c r="AO681" t="n">
        <v>17</v>
      </c>
      <c r="AP681" t="n">
        <v>1</v>
      </c>
      <c r="AQ681" t="n">
        <v>4</v>
      </c>
      <c r="AR681" t="inlineStr">
        <is>
          <t>No</t>
        </is>
      </c>
      <c r="AS681" t="inlineStr">
        <is>
          <t>No</t>
        </is>
      </c>
      <c r="AU681">
        <f>HYPERLINK("https://creighton-primo.hosted.exlibrisgroup.com/primo-explore/search?tab=default_tab&amp;search_scope=EVERYTHING&amp;vid=01CRU&amp;lang=en_US&amp;offset=0&amp;query=any,contains,991000384519702656","Catalog Record")</f>
        <v/>
      </c>
      <c r="AV681">
        <f>HYPERLINK("http://www.worldcat.org/oclc/50192138","WorldCat Record")</f>
        <v/>
      </c>
      <c r="AW681" t="inlineStr">
        <is>
          <t>679741:eng</t>
        </is>
      </c>
      <c r="AX681" t="inlineStr">
        <is>
          <t>50192138</t>
        </is>
      </c>
      <c r="AY681" t="inlineStr">
        <is>
          <t>991000384519702656</t>
        </is>
      </c>
      <c r="AZ681" t="inlineStr">
        <is>
          <t>991000384519702656</t>
        </is>
      </c>
      <c r="BA681" t="inlineStr">
        <is>
          <t>2257161300002656</t>
        </is>
      </c>
      <c r="BB681" t="inlineStr">
        <is>
          <t>BOOK</t>
        </is>
      </c>
      <c r="BD681" t="inlineStr">
        <is>
          <t>9781567931938</t>
        </is>
      </c>
      <c r="BE681" t="inlineStr">
        <is>
          <t>30001004840700</t>
        </is>
      </c>
      <c r="BF681" t="inlineStr">
        <is>
          <t>893123065</t>
        </is>
      </c>
    </row>
    <row r="682">
      <c r="A682" t="inlineStr">
        <is>
          <t>No</t>
        </is>
      </c>
      <c r="B682" t="inlineStr">
        <is>
          <t>CUHSL</t>
        </is>
      </c>
      <c r="C682" t="inlineStr">
        <is>
          <t>SHELVES</t>
        </is>
      </c>
      <c r="D682" t="inlineStr">
        <is>
          <t>W 74 S714h 1984</t>
        </is>
      </c>
      <c r="E682" t="inlineStr">
        <is>
          <t>0                      W  0074000S  714h        1984</t>
        </is>
      </c>
      <c r="F682" t="inlineStr">
        <is>
          <t>Health economics : an introduction / Alan L. Sorkin.</t>
        </is>
      </c>
      <c r="H682" t="inlineStr">
        <is>
          <t>No</t>
        </is>
      </c>
      <c r="I682" t="inlineStr">
        <is>
          <t>1</t>
        </is>
      </c>
      <c r="J682" t="inlineStr">
        <is>
          <t>No</t>
        </is>
      </c>
      <c r="K682" t="inlineStr">
        <is>
          <t>No</t>
        </is>
      </c>
      <c r="L682" t="inlineStr">
        <is>
          <t>0</t>
        </is>
      </c>
      <c r="M682" t="inlineStr">
        <is>
          <t>Sorkin, Alan L.</t>
        </is>
      </c>
      <c r="N682" t="inlineStr">
        <is>
          <t>Lexington, Mass. : Lexington Books, c1984.</t>
        </is>
      </c>
      <c r="O682" t="inlineStr">
        <is>
          <t>1984</t>
        </is>
      </c>
      <c r="P682" t="inlineStr">
        <is>
          <t>2nd and rev. ed.</t>
        </is>
      </c>
      <c r="Q682" t="inlineStr">
        <is>
          <t>eng</t>
        </is>
      </c>
      <c r="R682" t="inlineStr">
        <is>
          <t>xxu</t>
        </is>
      </c>
      <c r="T682" t="inlineStr">
        <is>
          <t xml:space="preserve">W  </t>
        </is>
      </c>
      <c r="U682" t="n">
        <v>2</v>
      </c>
      <c r="V682" t="n">
        <v>2</v>
      </c>
      <c r="W682" t="inlineStr">
        <is>
          <t>1993-03-14</t>
        </is>
      </c>
      <c r="X682" t="inlineStr">
        <is>
          <t>1993-03-14</t>
        </is>
      </c>
      <c r="Y682" t="inlineStr">
        <is>
          <t>1987-12-19</t>
        </is>
      </c>
      <c r="Z682" t="inlineStr">
        <is>
          <t>1987-12-19</t>
        </is>
      </c>
      <c r="AA682" t="n">
        <v>217</v>
      </c>
      <c r="AB682" t="n">
        <v>173</v>
      </c>
      <c r="AC682" t="n">
        <v>403</v>
      </c>
      <c r="AD682" t="n">
        <v>1</v>
      </c>
      <c r="AE682" t="n">
        <v>3</v>
      </c>
      <c r="AF682" t="n">
        <v>5</v>
      </c>
      <c r="AG682" t="n">
        <v>17</v>
      </c>
      <c r="AH682" t="n">
        <v>1</v>
      </c>
      <c r="AI682" t="n">
        <v>4</v>
      </c>
      <c r="AJ682" t="n">
        <v>1</v>
      </c>
      <c r="AK682" t="n">
        <v>3</v>
      </c>
      <c r="AL682" t="n">
        <v>4</v>
      </c>
      <c r="AM682" t="n">
        <v>11</v>
      </c>
      <c r="AN682" t="n">
        <v>0</v>
      </c>
      <c r="AO682" t="n">
        <v>2</v>
      </c>
      <c r="AP682" t="n">
        <v>1</v>
      </c>
      <c r="AQ682" t="n">
        <v>2</v>
      </c>
      <c r="AR682" t="inlineStr">
        <is>
          <t>No</t>
        </is>
      </c>
      <c r="AS682" t="inlineStr">
        <is>
          <t>No</t>
        </is>
      </c>
      <c r="AU682">
        <f>HYPERLINK("https://creighton-primo.hosted.exlibrisgroup.com/primo-explore/search?tab=default_tab&amp;search_scope=EVERYTHING&amp;vid=01CRU&amp;lang=en_US&amp;offset=0&amp;query=any,contains,991001543929702656","Catalog Record")</f>
        <v/>
      </c>
      <c r="AV682">
        <f>HYPERLINK("http://www.worldcat.org/oclc/9757335","WorldCat Record")</f>
        <v/>
      </c>
      <c r="AW682" t="inlineStr">
        <is>
          <t>2286645501:eng</t>
        </is>
      </c>
      <c r="AX682" t="inlineStr">
        <is>
          <t>9757335</t>
        </is>
      </c>
      <c r="AY682" t="inlineStr">
        <is>
          <t>991001543929702656</t>
        </is>
      </c>
      <c r="AZ682" t="inlineStr">
        <is>
          <t>991001543929702656</t>
        </is>
      </c>
      <c r="BA682" t="inlineStr">
        <is>
          <t>2261976950002656</t>
        </is>
      </c>
      <c r="BB682" t="inlineStr">
        <is>
          <t>BOOK</t>
        </is>
      </c>
      <c r="BD682" t="inlineStr">
        <is>
          <t>9780669069174</t>
        </is>
      </c>
      <c r="BE682" t="inlineStr">
        <is>
          <t>30001000636367</t>
        </is>
      </c>
      <c r="BF682" t="inlineStr">
        <is>
          <t>893821331</t>
        </is>
      </c>
    </row>
    <row r="683">
      <c r="A683" t="inlineStr">
        <is>
          <t>No</t>
        </is>
      </c>
      <c r="B683" t="inlineStr">
        <is>
          <t>CUHSL</t>
        </is>
      </c>
      <c r="C683" t="inlineStr">
        <is>
          <t>SHELVES</t>
        </is>
      </c>
      <c r="D683" t="inlineStr">
        <is>
          <t>W 74 S875n 1993</t>
        </is>
      </c>
      <c r="E683" t="inlineStr">
        <is>
          <t>0                      W  0074000S  875n        1993</t>
        </is>
      </c>
      <c r="F683" t="inlineStr">
        <is>
          <t>The new medical marketplace : a physician's guide to the health care system in the 1990s / by Anne M. Stoline and Jonathan P. Weiner ; with Gail Geller and Eric K. Gorovitz.</t>
        </is>
      </c>
      <c r="H683" t="inlineStr">
        <is>
          <t>No</t>
        </is>
      </c>
      <c r="I683" t="inlineStr">
        <is>
          <t>1</t>
        </is>
      </c>
      <c r="J683" t="inlineStr">
        <is>
          <t>No</t>
        </is>
      </c>
      <c r="K683" t="inlineStr">
        <is>
          <t>No</t>
        </is>
      </c>
      <c r="L683" t="inlineStr">
        <is>
          <t>0</t>
        </is>
      </c>
      <c r="M683" t="inlineStr">
        <is>
          <t>Stoline, Anne, 1961-</t>
        </is>
      </c>
      <c r="N683" t="inlineStr">
        <is>
          <t>Baltimore : Johns Hopkins University Press, c1993.</t>
        </is>
      </c>
      <c r="O683" t="inlineStr">
        <is>
          <t>1993</t>
        </is>
      </c>
      <c r="P683" t="inlineStr">
        <is>
          <t>Rev. and updated ed.</t>
        </is>
      </c>
      <c r="Q683" t="inlineStr">
        <is>
          <t>eng</t>
        </is>
      </c>
      <c r="R683" t="inlineStr">
        <is>
          <t>mdu</t>
        </is>
      </c>
      <c r="T683" t="inlineStr">
        <is>
          <t xml:space="preserve">W  </t>
        </is>
      </c>
      <c r="U683" t="n">
        <v>14</v>
      </c>
      <c r="V683" t="n">
        <v>14</v>
      </c>
      <c r="W683" t="inlineStr">
        <is>
          <t>2003-03-06</t>
        </is>
      </c>
      <c r="X683" t="inlineStr">
        <is>
          <t>2003-03-06</t>
        </is>
      </c>
      <c r="Y683" t="inlineStr">
        <is>
          <t>1993-11-10</t>
        </is>
      </c>
      <c r="Z683" t="inlineStr">
        <is>
          <t>1993-11-10</t>
        </is>
      </c>
      <c r="AA683" t="n">
        <v>211</v>
      </c>
      <c r="AB683" t="n">
        <v>198</v>
      </c>
      <c r="AC683" t="n">
        <v>199</v>
      </c>
      <c r="AD683" t="n">
        <v>2</v>
      </c>
      <c r="AE683" t="n">
        <v>2</v>
      </c>
      <c r="AF683" t="n">
        <v>7</v>
      </c>
      <c r="AG683" t="n">
        <v>7</v>
      </c>
      <c r="AH683" t="n">
        <v>1</v>
      </c>
      <c r="AI683" t="n">
        <v>1</v>
      </c>
      <c r="AJ683" t="n">
        <v>3</v>
      </c>
      <c r="AK683" t="n">
        <v>3</v>
      </c>
      <c r="AL683" t="n">
        <v>5</v>
      </c>
      <c r="AM683" t="n">
        <v>5</v>
      </c>
      <c r="AN683" t="n">
        <v>1</v>
      </c>
      <c r="AO683" t="n">
        <v>1</v>
      </c>
      <c r="AP683" t="n">
        <v>0</v>
      </c>
      <c r="AQ683" t="n">
        <v>0</v>
      </c>
      <c r="AR683" t="inlineStr">
        <is>
          <t>No</t>
        </is>
      </c>
      <c r="AS683" t="inlineStr">
        <is>
          <t>Yes</t>
        </is>
      </c>
      <c r="AT683">
        <f>HYPERLINK("http://catalog.hathitrust.org/Record/002648059","HathiTrust Record")</f>
        <v/>
      </c>
      <c r="AU683">
        <f>HYPERLINK("https://creighton-primo.hosted.exlibrisgroup.com/primo-explore/search?tab=default_tab&amp;search_scope=EVERYTHING&amp;vid=01CRU&amp;lang=en_US&amp;offset=0&amp;query=any,contains,991000546209702656","Catalog Record")</f>
        <v/>
      </c>
      <c r="AV683">
        <f>HYPERLINK("http://www.worldcat.org/oclc/27218099","WorldCat Record")</f>
        <v/>
      </c>
      <c r="AW683" t="inlineStr">
        <is>
          <t>4648463202:eng</t>
        </is>
      </c>
      <c r="AX683" t="inlineStr">
        <is>
          <t>27218099</t>
        </is>
      </c>
      <c r="AY683" t="inlineStr">
        <is>
          <t>991000546209702656</t>
        </is>
      </c>
      <c r="AZ683" t="inlineStr">
        <is>
          <t>991000546209702656</t>
        </is>
      </c>
      <c r="BA683" t="inlineStr">
        <is>
          <t>2265144630002656</t>
        </is>
      </c>
      <c r="BB683" t="inlineStr">
        <is>
          <t>BOOK</t>
        </is>
      </c>
      <c r="BD683" t="inlineStr">
        <is>
          <t>9780801845826</t>
        </is>
      </c>
      <c r="BE683" t="inlineStr">
        <is>
          <t>30001002670422</t>
        </is>
      </c>
      <c r="BF683" t="inlineStr">
        <is>
          <t>893555701</t>
        </is>
      </c>
    </row>
    <row r="684">
      <c r="A684" t="inlineStr">
        <is>
          <t>No</t>
        </is>
      </c>
      <c r="B684" t="inlineStr">
        <is>
          <t>CUHSL</t>
        </is>
      </c>
      <c r="C684" t="inlineStr">
        <is>
          <t>SHELVES</t>
        </is>
      </c>
      <c r="D684" t="inlineStr">
        <is>
          <t>W 74 T256 1982</t>
        </is>
      </c>
      <c r="E684" t="inlineStr">
        <is>
          <t>0                      W  0074000T  256         1982</t>
        </is>
      </c>
      <c r="F684" t="inlineStr">
        <is>
          <t>Technology and the future of health care / edited by John B. McKinlay.</t>
        </is>
      </c>
      <c r="H684" t="inlineStr">
        <is>
          <t>No</t>
        </is>
      </c>
      <c r="I684" t="inlineStr">
        <is>
          <t>1</t>
        </is>
      </c>
      <c r="J684" t="inlineStr">
        <is>
          <t>No</t>
        </is>
      </c>
      <c r="K684" t="inlineStr">
        <is>
          <t>No</t>
        </is>
      </c>
      <c r="L684" t="inlineStr">
        <is>
          <t>0</t>
        </is>
      </c>
      <c r="N684" t="inlineStr">
        <is>
          <t>Cambridge, Mass. : MIT Press, c1982.</t>
        </is>
      </c>
      <c r="O684" t="inlineStr">
        <is>
          <t>1982</t>
        </is>
      </c>
      <c r="Q684" t="inlineStr">
        <is>
          <t>eng</t>
        </is>
      </c>
      <c r="R684" t="inlineStr">
        <is>
          <t>xxu</t>
        </is>
      </c>
      <c r="T684" t="inlineStr">
        <is>
          <t xml:space="preserve">W  </t>
        </is>
      </c>
      <c r="U684" t="n">
        <v>5</v>
      </c>
      <c r="V684" t="n">
        <v>5</v>
      </c>
      <c r="W684" t="inlineStr">
        <is>
          <t>2001-11-20</t>
        </is>
      </c>
      <c r="X684" t="inlineStr">
        <is>
          <t>2001-11-20</t>
        </is>
      </c>
      <c r="Y684" t="inlineStr">
        <is>
          <t>1987-12-19</t>
        </is>
      </c>
      <c r="Z684" t="inlineStr">
        <is>
          <t>1987-12-19</t>
        </is>
      </c>
      <c r="AA684" t="n">
        <v>165</v>
      </c>
      <c r="AB684" t="n">
        <v>135</v>
      </c>
      <c r="AC684" t="n">
        <v>140</v>
      </c>
      <c r="AD684" t="n">
        <v>3</v>
      </c>
      <c r="AE684" t="n">
        <v>3</v>
      </c>
      <c r="AF684" t="n">
        <v>5</v>
      </c>
      <c r="AG684" t="n">
        <v>5</v>
      </c>
      <c r="AH684" t="n">
        <v>1</v>
      </c>
      <c r="AI684" t="n">
        <v>1</v>
      </c>
      <c r="AJ684" t="n">
        <v>0</v>
      </c>
      <c r="AK684" t="n">
        <v>0</v>
      </c>
      <c r="AL684" t="n">
        <v>1</v>
      </c>
      <c r="AM684" t="n">
        <v>1</v>
      </c>
      <c r="AN684" t="n">
        <v>2</v>
      </c>
      <c r="AO684" t="n">
        <v>2</v>
      </c>
      <c r="AP684" t="n">
        <v>1</v>
      </c>
      <c r="AQ684" t="n">
        <v>1</v>
      </c>
      <c r="AR684" t="inlineStr">
        <is>
          <t>No</t>
        </is>
      </c>
      <c r="AS684" t="inlineStr">
        <is>
          <t>No</t>
        </is>
      </c>
      <c r="AU684">
        <f>HYPERLINK("https://creighton-primo.hosted.exlibrisgroup.com/primo-explore/search?tab=default_tab&amp;search_scope=EVERYTHING&amp;vid=01CRU&amp;lang=en_US&amp;offset=0&amp;query=any,contains,991001543969702656","Catalog Record")</f>
        <v/>
      </c>
      <c r="AV684">
        <f>HYPERLINK("http://www.worldcat.org/oclc/7732797","WorldCat Record")</f>
        <v/>
      </c>
      <c r="AW684" t="inlineStr">
        <is>
          <t>29666926:eng</t>
        </is>
      </c>
      <c r="AX684" t="inlineStr">
        <is>
          <t>7732797</t>
        </is>
      </c>
      <c r="AY684" t="inlineStr">
        <is>
          <t>991001543969702656</t>
        </is>
      </c>
      <c r="AZ684" t="inlineStr">
        <is>
          <t>991001543969702656</t>
        </is>
      </c>
      <c r="BA684" t="inlineStr">
        <is>
          <t>2270035900002656</t>
        </is>
      </c>
      <c r="BB684" t="inlineStr">
        <is>
          <t>BOOK</t>
        </is>
      </c>
      <c r="BD684" t="inlineStr">
        <is>
          <t>9780262131834</t>
        </is>
      </c>
      <c r="BE684" t="inlineStr">
        <is>
          <t>30001000636375</t>
        </is>
      </c>
      <c r="BF684" t="inlineStr">
        <is>
          <t>893826852</t>
        </is>
      </c>
    </row>
    <row r="685">
      <c r="A685" t="inlineStr">
        <is>
          <t>No</t>
        </is>
      </c>
      <c r="B685" t="inlineStr">
        <is>
          <t>CUHSL</t>
        </is>
      </c>
      <c r="C685" t="inlineStr">
        <is>
          <t>SHELVES</t>
        </is>
      </c>
      <c r="D685" t="inlineStr">
        <is>
          <t>W 76 D614 1982</t>
        </is>
      </c>
      <c r="E685" t="inlineStr">
        <is>
          <t>0                      W  0076000D  614         1982</t>
        </is>
      </c>
      <c r="F685" t="inlineStr">
        <is>
          <t>Distribution of physicians by school, state and country of graduation and activitiy as of December 31, 1979 / prepared for AMA Section on Medical Schools ; prepared by Catherine M. Bidsee.</t>
        </is>
      </c>
      <c r="H685" t="inlineStr">
        <is>
          <t>No</t>
        </is>
      </c>
      <c r="I685" t="inlineStr">
        <is>
          <t>1</t>
        </is>
      </c>
      <c r="J685" t="inlineStr">
        <is>
          <t>No</t>
        </is>
      </c>
      <c r="K685" t="inlineStr">
        <is>
          <t>No</t>
        </is>
      </c>
      <c r="L685" t="inlineStr">
        <is>
          <t>0</t>
        </is>
      </c>
      <c r="N685" t="inlineStr">
        <is>
          <t>[Chicago] : American Medical Association, Division of Survey and Data Resources, 1982.</t>
        </is>
      </c>
      <c r="O685" t="inlineStr">
        <is>
          <t>1982</t>
        </is>
      </c>
      <c r="Q685" t="inlineStr">
        <is>
          <t>eng</t>
        </is>
      </c>
      <c r="R685" t="inlineStr">
        <is>
          <t>ilu</t>
        </is>
      </c>
      <c r="T685" t="inlineStr">
        <is>
          <t xml:space="preserve">W  </t>
        </is>
      </c>
      <c r="U685" t="n">
        <v>1</v>
      </c>
      <c r="V685" t="n">
        <v>1</v>
      </c>
      <c r="W685" t="inlineStr">
        <is>
          <t>2002-09-05</t>
        </is>
      </c>
      <c r="X685" t="inlineStr">
        <is>
          <t>2002-09-05</t>
        </is>
      </c>
      <c r="Y685" t="inlineStr">
        <is>
          <t>1991-06-28</t>
        </is>
      </c>
      <c r="Z685" t="inlineStr">
        <is>
          <t>1991-06-28</t>
        </is>
      </c>
      <c r="AA685" t="n">
        <v>8</v>
      </c>
      <c r="AB685" t="n">
        <v>8</v>
      </c>
      <c r="AC685" t="n">
        <v>10</v>
      </c>
      <c r="AD685" t="n">
        <v>1</v>
      </c>
      <c r="AE685" t="n">
        <v>1</v>
      </c>
      <c r="AF685" t="n">
        <v>0</v>
      </c>
      <c r="AG685" t="n">
        <v>0</v>
      </c>
      <c r="AH685" t="n">
        <v>0</v>
      </c>
      <c r="AI685" t="n">
        <v>0</v>
      </c>
      <c r="AJ685" t="n">
        <v>0</v>
      </c>
      <c r="AK685" t="n">
        <v>0</v>
      </c>
      <c r="AL685" t="n">
        <v>0</v>
      </c>
      <c r="AM685" t="n">
        <v>0</v>
      </c>
      <c r="AN685" t="n">
        <v>0</v>
      </c>
      <c r="AO685" t="n">
        <v>0</v>
      </c>
      <c r="AP685" t="n">
        <v>0</v>
      </c>
      <c r="AQ685" t="n">
        <v>0</v>
      </c>
      <c r="AR685" t="inlineStr">
        <is>
          <t>No</t>
        </is>
      </c>
      <c r="AS685" t="inlineStr">
        <is>
          <t>Yes</t>
        </is>
      </c>
      <c r="AT685">
        <f>HYPERLINK("http://catalog.hathitrust.org/Record/010597968","HathiTrust Record")</f>
        <v/>
      </c>
      <c r="AU685">
        <f>HYPERLINK("https://creighton-primo.hosted.exlibrisgroup.com/primo-explore/search?tab=default_tab&amp;search_scope=EVERYTHING&amp;vid=01CRU&amp;lang=en_US&amp;offset=0&amp;query=any,contains,991000942439702656","Catalog Record")</f>
        <v/>
      </c>
      <c r="AV685">
        <f>HYPERLINK("http://www.worldcat.org/oclc/8957949","WorldCat Record")</f>
        <v/>
      </c>
      <c r="AW685" t="inlineStr">
        <is>
          <t>4088798272:eng</t>
        </is>
      </c>
      <c r="AX685" t="inlineStr">
        <is>
          <t>8957949</t>
        </is>
      </c>
      <c r="AY685" t="inlineStr">
        <is>
          <t>991000942439702656</t>
        </is>
      </c>
      <c r="AZ685" t="inlineStr">
        <is>
          <t>991000942439702656</t>
        </is>
      </c>
      <c r="BA685" t="inlineStr">
        <is>
          <t>2266356230002656</t>
        </is>
      </c>
      <c r="BB685" t="inlineStr">
        <is>
          <t>BOOK</t>
        </is>
      </c>
      <c r="BE685" t="inlineStr">
        <is>
          <t>30001002192922</t>
        </is>
      </c>
      <c r="BF685" t="inlineStr">
        <is>
          <t>893455304</t>
        </is>
      </c>
    </row>
    <row r="686">
      <c r="A686" t="inlineStr">
        <is>
          <t>No</t>
        </is>
      </c>
      <c r="B686" t="inlineStr">
        <is>
          <t>CUHSL</t>
        </is>
      </c>
      <c r="C686" t="inlineStr">
        <is>
          <t>SHELVES</t>
        </is>
      </c>
      <c r="D686" t="inlineStr">
        <is>
          <t>W 76 E24p 1982</t>
        </is>
      </c>
      <c r="E686" t="inlineStr">
        <is>
          <t>0                      W  0076000E  24p         1982</t>
        </is>
      </c>
      <c r="F686" t="inlineStr">
        <is>
          <t>Program of institutional research and education grants / Educational Commission for Foreign Medical Graduates.</t>
        </is>
      </c>
      <c r="H686" t="inlineStr">
        <is>
          <t>No</t>
        </is>
      </c>
      <c r="I686" t="inlineStr">
        <is>
          <t>1</t>
        </is>
      </c>
      <c r="J686" t="inlineStr">
        <is>
          <t>No</t>
        </is>
      </c>
      <c r="K686" t="inlineStr">
        <is>
          <t>No</t>
        </is>
      </c>
      <c r="L686" t="inlineStr">
        <is>
          <t>0</t>
        </is>
      </c>
      <c r="M686" t="inlineStr">
        <is>
          <t>Educational Commission for Foreign Medical Graduates.</t>
        </is>
      </c>
      <c r="O686" t="inlineStr">
        <is>
          <t>1982</t>
        </is>
      </c>
      <c r="Q686" t="inlineStr">
        <is>
          <t>eng</t>
        </is>
      </c>
      <c r="R686" t="inlineStr">
        <is>
          <t>pau</t>
        </is>
      </c>
      <c r="T686" t="inlineStr">
        <is>
          <t xml:space="preserve">W  </t>
        </is>
      </c>
      <c r="U686" t="n">
        <v>0</v>
      </c>
      <c r="V686" t="n">
        <v>0</v>
      </c>
      <c r="W686" t="inlineStr">
        <is>
          <t>2002-09-05</t>
        </is>
      </c>
      <c r="X686" t="inlineStr">
        <is>
          <t>2002-09-05</t>
        </is>
      </c>
      <c r="Y686" t="inlineStr">
        <is>
          <t>1988-01-23</t>
        </is>
      </c>
      <c r="Z686" t="inlineStr">
        <is>
          <t>1988-01-23</t>
        </is>
      </c>
      <c r="AA686" t="n">
        <v>1</v>
      </c>
      <c r="AB686" t="n">
        <v>1</v>
      </c>
      <c r="AC686" t="n">
        <v>1</v>
      </c>
      <c r="AD686" t="n">
        <v>1</v>
      </c>
      <c r="AE686" t="n">
        <v>1</v>
      </c>
      <c r="AF686" t="n">
        <v>0</v>
      </c>
      <c r="AG686" t="n">
        <v>0</v>
      </c>
      <c r="AH686" t="n">
        <v>0</v>
      </c>
      <c r="AI686" t="n">
        <v>0</v>
      </c>
      <c r="AJ686" t="n">
        <v>0</v>
      </c>
      <c r="AK686" t="n">
        <v>0</v>
      </c>
      <c r="AL686" t="n">
        <v>0</v>
      </c>
      <c r="AM686" t="n">
        <v>0</v>
      </c>
      <c r="AN686" t="n">
        <v>0</v>
      </c>
      <c r="AO686" t="n">
        <v>0</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HYPERLINK("https://creighton-primo.hosted.exlibrisgroup.com/primo-explore/search?tab=default_tab&amp;search_scope=EVERYTHING&amp;vid=01CRU&amp;lang=en_US&amp;offset=0&amp;query=any,contains,991001472189702656","Catalog Record")</f>
        <v/>
      </c>
      <c r="AV686">
        <f>HYPERLINK("http://www.worldcat.org/oclc/9182425","WorldCat Record")</f>
        <v/>
      </c>
      <c r="AW686" t="inlineStr">
        <is>
          <t>43369931:eng</t>
        </is>
      </c>
      <c r="AX686" t="inlineStr">
        <is>
          <t>9182425</t>
        </is>
      </c>
      <c r="AY686" t="inlineStr">
        <is>
          <t>991001472189702656</t>
        </is>
      </c>
      <c r="AZ686" t="inlineStr">
        <is>
          <t>991001472189702656</t>
        </is>
      </c>
      <c r="BA686" t="inlineStr">
        <is>
          <t>2257883730002656</t>
        </is>
      </c>
      <c r="BB686" t="inlineStr">
        <is>
          <t>BOOK</t>
        </is>
      </c>
      <c r="BE686" t="inlineStr">
        <is>
          <t>30001000559155</t>
        </is>
      </c>
      <c r="BF686" t="inlineStr">
        <is>
          <t>893134607</t>
        </is>
      </c>
    </row>
    <row r="687">
      <c r="A687" t="inlineStr">
        <is>
          <t>No</t>
        </is>
      </c>
      <c r="B687" t="inlineStr">
        <is>
          <t>CUHSL</t>
        </is>
      </c>
      <c r="C687" t="inlineStr">
        <is>
          <t>SHELVES</t>
        </is>
      </c>
      <c r="D687" t="inlineStr">
        <is>
          <t>W 76 E34m 1986</t>
        </is>
      </c>
      <c r="E687" t="inlineStr">
        <is>
          <t>0                      W  0076000E  34m         1986</t>
        </is>
      </c>
      <c r="F687" t="inlineStr">
        <is>
          <t>Medical school alumni / Mary Ann Eiler, Thomas J. Pasko, Myron Max, Department of Data Release Services, Division of Survey and Data Resources.</t>
        </is>
      </c>
      <c r="H687" t="inlineStr">
        <is>
          <t>No</t>
        </is>
      </c>
      <c r="I687" t="inlineStr">
        <is>
          <t>1</t>
        </is>
      </c>
      <c r="J687" t="inlineStr">
        <is>
          <t>No</t>
        </is>
      </c>
      <c r="K687" t="inlineStr">
        <is>
          <t>No</t>
        </is>
      </c>
      <c r="L687" t="inlineStr">
        <is>
          <t>0</t>
        </is>
      </c>
      <c r="M687" t="inlineStr">
        <is>
          <t>Eiler, Mary Ann.</t>
        </is>
      </c>
      <c r="N687" t="inlineStr">
        <is>
          <t>Chicago : American Medical Association, c1986.</t>
        </is>
      </c>
      <c r="O687" t="inlineStr">
        <is>
          <t>1986</t>
        </is>
      </c>
      <c r="P687" t="inlineStr">
        <is>
          <t>1986 ed.</t>
        </is>
      </c>
      <c r="Q687" t="inlineStr">
        <is>
          <t>eng</t>
        </is>
      </c>
      <c r="R687" t="inlineStr">
        <is>
          <t>ilu</t>
        </is>
      </c>
      <c r="T687" t="inlineStr">
        <is>
          <t xml:space="preserve">W  </t>
        </is>
      </c>
      <c r="U687" t="n">
        <v>1</v>
      </c>
      <c r="V687" t="n">
        <v>1</v>
      </c>
      <c r="W687" t="inlineStr">
        <is>
          <t>2002-09-05</t>
        </is>
      </c>
      <c r="X687" t="inlineStr">
        <is>
          <t>2002-09-05</t>
        </is>
      </c>
      <c r="Y687" t="inlineStr">
        <is>
          <t>1988-02-19</t>
        </is>
      </c>
      <c r="Z687" t="inlineStr">
        <is>
          <t>1988-02-19</t>
        </is>
      </c>
      <c r="AA687" t="n">
        <v>49</v>
      </c>
      <c r="AB687" t="n">
        <v>47</v>
      </c>
      <c r="AC687" t="n">
        <v>47</v>
      </c>
      <c r="AD687" t="n">
        <v>1</v>
      </c>
      <c r="AE687" t="n">
        <v>1</v>
      </c>
      <c r="AF687" t="n">
        <v>0</v>
      </c>
      <c r="AG687" t="n">
        <v>0</v>
      </c>
      <c r="AH687" t="n">
        <v>0</v>
      </c>
      <c r="AI687" t="n">
        <v>0</v>
      </c>
      <c r="AJ687" t="n">
        <v>0</v>
      </c>
      <c r="AK687" t="n">
        <v>0</v>
      </c>
      <c r="AL687" t="n">
        <v>0</v>
      </c>
      <c r="AM687" t="n">
        <v>0</v>
      </c>
      <c r="AN687" t="n">
        <v>0</v>
      </c>
      <c r="AO687" t="n">
        <v>0</v>
      </c>
      <c r="AP687" t="n">
        <v>0</v>
      </c>
      <c r="AQ687" t="n">
        <v>0</v>
      </c>
      <c r="AR687" t="inlineStr">
        <is>
          <t>No</t>
        </is>
      </c>
      <c r="AS687" t="inlineStr">
        <is>
          <t>No</t>
        </is>
      </c>
      <c r="AU687">
        <f>HYPERLINK("https://creighton-primo.hosted.exlibrisgroup.com/primo-explore/search?tab=default_tab&amp;search_scope=EVERYTHING&amp;vid=01CRU&amp;lang=en_US&amp;offset=0&amp;query=any,contains,991001286709702656","Catalog Record")</f>
        <v/>
      </c>
      <c r="AV687">
        <f>HYPERLINK("http://www.worldcat.org/oclc/20453927","WorldCat Record")</f>
        <v/>
      </c>
      <c r="AW687" t="inlineStr">
        <is>
          <t>2864118155:eng</t>
        </is>
      </c>
      <c r="AX687" t="inlineStr">
        <is>
          <t>20453927</t>
        </is>
      </c>
      <c r="AY687" t="inlineStr">
        <is>
          <t>991001286709702656</t>
        </is>
      </c>
      <c r="AZ687" t="inlineStr">
        <is>
          <t>991001286709702656</t>
        </is>
      </c>
      <c r="BA687" t="inlineStr">
        <is>
          <t>22101747230002656</t>
        </is>
      </c>
      <c r="BB687" t="inlineStr">
        <is>
          <t>BOOK</t>
        </is>
      </c>
      <c r="BD687" t="inlineStr">
        <is>
          <t>9780899702247</t>
        </is>
      </c>
      <c r="BE687" t="inlineStr">
        <is>
          <t>30001000388191</t>
        </is>
      </c>
      <c r="BF687" t="inlineStr">
        <is>
          <t>893821096</t>
        </is>
      </c>
    </row>
    <row r="688">
      <c r="A688" t="inlineStr">
        <is>
          <t>No</t>
        </is>
      </c>
      <c r="B688" t="inlineStr">
        <is>
          <t>CUHSL</t>
        </is>
      </c>
      <c r="C688" t="inlineStr">
        <is>
          <t>SHELVES</t>
        </is>
      </c>
      <c r="D688" t="inlineStr">
        <is>
          <t>W 76 E71p 1985</t>
        </is>
      </c>
      <c r="E688" t="inlineStr">
        <is>
          <t>0                      W  0076000E  71p         1985</t>
        </is>
      </c>
      <c r="F688" t="inlineStr">
        <is>
          <t>Physician location and specialty choice / Richard L. Ernst, Donald E. Yett.</t>
        </is>
      </c>
      <c r="H688" t="inlineStr">
        <is>
          <t>No</t>
        </is>
      </c>
      <c r="I688" t="inlineStr">
        <is>
          <t>1</t>
        </is>
      </c>
      <c r="J688" t="inlineStr">
        <is>
          <t>No</t>
        </is>
      </c>
      <c r="K688" t="inlineStr">
        <is>
          <t>No</t>
        </is>
      </c>
      <c r="L688" t="inlineStr">
        <is>
          <t>0</t>
        </is>
      </c>
      <c r="M688" t="inlineStr">
        <is>
          <t>Ernst, Richard L., Ph. D.</t>
        </is>
      </c>
      <c r="N688" t="inlineStr">
        <is>
          <t>Ann Arbor, Mich. : Health Administration Press, 1985.</t>
        </is>
      </c>
      <c r="O688" t="inlineStr">
        <is>
          <t>1985</t>
        </is>
      </c>
      <c r="Q688" t="inlineStr">
        <is>
          <t>eng</t>
        </is>
      </c>
      <c r="R688" t="inlineStr">
        <is>
          <t>xxu</t>
        </is>
      </c>
      <c r="T688" t="inlineStr">
        <is>
          <t xml:space="preserve">W  </t>
        </is>
      </c>
      <c r="U688" t="n">
        <v>3</v>
      </c>
      <c r="V688" t="n">
        <v>3</v>
      </c>
      <c r="W688" t="inlineStr">
        <is>
          <t>2002-09-05</t>
        </is>
      </c>
      <c r="X688" t="inlineStr">
        <is>
          <t>2002-09-05</t>
        </is>
      </c>
      <c r="Y688" t="inlineStr">
        <is>
          <t>1987-12-19</t>
        </is>
      </c>
      <c r="Z688" t="inlineStr">
        <is>
          <t>1987-12-19</t>
        </is>
      </c>
      <c r="AA688" t="n">
        <v>154</v>
      </c>
      <c r="AB688" t="n">
        <v>141</v>
      </c>
      <c r="AC688" t="n">
        <v>143</v>
      </c>
      <c r="AD688" t="n">
        <v>1</v>
      </c>
      <c r="AE688" t="n">
        <v>1</v>
      </c>
      <c r="AF688" t="n">
        <v>3</v>
      </c>
      <c r="AG688" t="n">
        <v>3</v>
      </c>
      <c r="AH688" t="n">
        <v>0</v>
      </c>
      <c r="AI688" t="n">
        <v>0</v>
      </c>
      <c r="AJ688" t="n">
        <v>1</v>
      </c>
      <c r="AK688" t="n">
        <v>1</v>
      </c>
      <c r="AL688" t="n">
        <v>2</v>
      </c>
      <c r="AM688" t="n">
        <v>2</v>
      </c>
      <c r="AN688" t="n">
        <v>0</v>
      </c>
      <c r="AO688" t="n">
        <v>0</v>
      </c>
      <c r="AP688" t="n">
        <v>0</v>
      </c>
      <c r="AQ688" t="n">
        <v>0</v>
      </c>
      <c r="AR688" t="inlineStr">
        <is>
          <t>No</t>
        </is>
      </c>
      <c r="AS688" t="inlineStr">
        <is>
          <t>Yes</t>
        </is>
      </c>
      <c r="AT688">
        <f>HYPERLINK("http://catalog.hathitrust.org/Record/000352053","HathiTrust Record")</f>
        <v/>
      </c>
      <c r="AU688">
        <f>HYPERLINK("https://creighton-primo.hosted.exlibrisgroup.com/primo-explore/search?tab=default_tab&amp;search_scope=EVERYTHING&amp;vid=01CRU&amp;lang=en_US&amp;offset=0&amp;query=any,contains,991001544189702656","Catalog Record")</f>
        <v/>
      </c>
      <c r="AV688">
        <f>HYPERLINK("http://www.worldcat.org/oclc/11812447","WorldCat Record")</f>
        <v/>
      </c>
      <c r="AW688" t="inlineStr">
        <is>
          <t>4380096:eng</t>
        </is>
      </c>
      <c r="AX688" t="inlineStr">
        <is>
          <t>11812447</t>
        </is>
      </c>
      <c r="AY688" t="inlineStr">
        <is>
          <t>991001544189702656</t>
        </is>
      </c>
      <c r="AZ688" t="inlineStr">
        <is>
          <t>991001544189702656</t>
        </is>
      </c>
      <c r="BA688" t="inlineStr">
        <is>
          <t>2255092730002656</t>
        </is>
      </c>
      <c r="BB688" t="inlineStr">
        <is>
          <t>BOOK</t>
        </is>
      </c>
      <c r="BD688" t="inlineStr">
        <is>
          <t>9780910701037</t>
        </is>
      </c>
      <c r="BE688" t="inlineStr">
        <is>
          <t>30001000636904</t>
        </is>
      </c>
      <c r="BF688" t="inlineStr">
        <is>
          <t>893374711</t>
        </is>
      </c>
    </row>
    <row r="689">
      <c r="A689" t="inlineStr">
        <is>
          <t>No</t>
        </is>
      </c>
      <c r="B689" t="inlineStr">
        <is>
          <t>CUHSL</t>
        </is>
      </c>
      <c r="C689" t="inlineStr">
        <is>
          <t>SHELVES</t>
        </is>
      </c>
      <c r="D689" t="inlineStr">
        <is>
          <t>W 76 H224p 1992</t>
        </is>
      </c>
      <c r="E689" t="inlineStr">
        <is>
          <t>0                      W  0076000H  224p        1992</t>
        </is>
      </c>
      <c r="F689" t="inlineStr">
        <is>
          <t>Private choices, social costs, and public policy : an economic analysis of public health issues / Nancy Hammerle.</t>
        </is>
      </c>
      <c r="H689" t="inlineStr">
        <is>
          <t>No</t>
        </is>
      </c>
      <c r="I689" t="inlineStr">
        <is>
          <t>1</t>
        </is>
      </c>
      <c r="J689" t="inlineStr">
        <is>
          <t>No</t>
        </is>
      </c>
      <c r="K689" t="inlineStr">
        <is>
          <t>No</t>
        </is>
      </c>
      <c r="L689" t="inlineStr">
        <is>
          <t>0</t>
        </is>
      </c>
      <c r="M689" t="inlineStr">
        <is>
          <t>Hammerle, Nancy.</t>
        </is>
      </c>
      <c r="N689" t="inlineStr">
        <is>
          <t>Westport, Conn. : Praeger, c1992.</t>
        </is>
      </c>
      <c r="O689" t="inlineStr">
        <is>
          <t>1992</t>
        </is>
      </c>
      <c r="Q689" t="inlineStr">
        <is>
          <t>eng</t>
        </is>
      </c>
      <c r="R689" t="inlineStr">
        <is>
          <t>ctu</t>
        </is>
      </c>
      <c r="T689" t="inlineStr">
        <is>
          <t xml:space="preserve">W  </t>
        </is>
      </c>
      <c r="U689" t="n">
        <v>5</v>
      </c>
      <c r="V689" t="n">
        <v>5</v>
      </c>
      <c r="W689" t="inlineStr">
        <is>
          <t>1996-10-07</t>
        </is>
      </c>
      <c r="X689" t="inlineStr">
        <is>
          <t>1996-10-07</t>
        </is>
      </c>
      <c r="Y689" t="inlineStr">
        <is>
          <t>1992-12-21</t>
        </is>
      </c>
      <c r="Z689" t="inlineStr">
        <is>
          <t>1992-12-21</t>
        </is>
      </c>
      <c r="AA689" t="n">
        <v>379</v>
      </c>
      <c r="AB689" t="n">
        <v>327</v>
      </c>
      <c r="AC689" t="n">
        <v>334</v>
      </c>
      <c r="AD689" t="n">
        <v>1</v>
      </c>
      <c r="AE689" t="n">
        <v>1</v>
      </c>
      <c r="AF689" t="n">
        <v>13</v>
      </c>
      <c r="AG689" t="n">
        <v>13</v>
      </c>
      <c r="AH689" t="n">
        <v>4</v>
      </c>
      <c r="AI689" t="n">
        <v>4</v>
      </c>
      <c r="AJ689" t="n">
        <v>6</v>
      </c>
      <c r="AK689" t="n">
        <v>6</v>
      </c>
      <c r="AL689" t="n">
        <v>6</v>
      </c>
      <c r="AM689" t="n">
        <v>6</v>
      </c>
      <c r="AN689" t="n">
        <v>0</v>
      </c>
      <c r="AO689" t="n">
        <v>0</v>
      </c>
      <c r="AP689" t="n">
        <v>1</v>
      </c>
      <c r="AQ689" t="n">
        <v>1</v>
      </c>
      <c r="AR689" t="inlineStr">
        <is>
          <t>No</t>
        </is>
      </c>
      <c r="AS689" t="inlineStr">
        <is>
          <t>Yes</t>
        </is>
      </c>
      <c r="AT689">
        <f>HYPERLINK("http://catalog.hathitrust.org/Record/004529741","HathiTrust Record")</f>
        <v/>
      </c>
      <c r="AU689">
        <f>HYPERLINK("https://creighton-primo.hosted.exlibrisgroup.com/primo-explore/search?tab=default_tab&amp;search_scope=EVERYTHING&amp;vid=01CRU&amp;lang=en_US&amp;offset=0&amp;query=any,contains,991001349729702656","Catalog Record")</f>
        <v/>
      </c>
      <c r="AV689">
        <f>HYPERLINK("http://www.worldcat.org/oclc/25281648","WorldCat Record")</f>
        <v/>
      </c>
      <c r="AW689" t="inlineStr">
        <is>
          <t>435078975:eng</t>
        </is>
      </c>
      <c r="AX689" t="inlineStr">
        <is>
          <t>25281648</t>
        </is>
      </c>
      <c r="AY689" t="inlineStr">
        <is>
          <t>991001349729702656</t>
        </is>
      </c>
      <c r="AZ689" t="inlineStr">
        <is>
          <t>991001349729702656</t>
        </is>
      </c>
      <c r="BA689" t="inlineStr">
        <is>
          <t>2256032550002656</t>
        </is>
      </c>
      <c r="BB689" t="inlineStr">
        <is>
          <t>BOOK</t>
        </is>
      </c>
      <c r="BD689" t="inlineStr">
        <is>
          <t>9780275941727</t>
        </is>
      </c>
      <c r="BE689" t="inlineStr">
        <is>
          <t>30001002459040</t>
        </is>
      </c>
      <c r="BF689" t="inlineStr">
        <is>
          <t>893284722</t>
        </is>
      </c>
    </row>
    <row r="690">
      <c r="A690" t="inlineStr">
        <is>
          <t>No</t>
        </is>
      </c>
      <c r="B690" t="inlineStr">
        <is>
          <t>CUHSL</t>
        </is>
      </c>
      <c r="C690" t="inlineStr">
        <is>
          <t>SHELVES</t>
        </is>
      </c>
      <c r="D690" t="inlineStr">
        <is>
          <t>W 76 H4345 1994</t>
        </is>
      </c>
      <c r="E690" t="inlineStr">
        <is>
          <t>0                      W  0076000H  4345        1994</t>
        </is>
      </c>
      <c r="F690" t="inlineStr">
        <is>
          <t>Health workforce issues for the 21st century / Paul F. Larson, Marian Osterweis, Elaine R. Rubin, editors.</t>
        </is>
      </c>
      <c r="H690" t="inlineStr">
        <is>
          <t>No</t>
        </is>
      </c>
      <c r="I690" t="inlineStr">
        <is>
          <t>1</t>
        </is>
      </c>
      <c r="J690" t="inlineStr">
        <is>
          <t>No</t>
        </is>
      </c>
      <c r="K690" t="inlineStr">
        <is>
          <t>No</t>
        </is>
      </c>
      <c r="L690" t="inlineStr">
        <is>
          <t>0</t>
        </is>
      </c>
      <c r="N690" t="inlineStr">
        <is>
          <t>Washington, DC : Association of Academic Health Centers, c1994.</t>
        </is>
      </c>
      <c r="O690" t="inlineStr">
        <is>
          <t>1994</t>
        </is>
      </c>
      <c r="Q690" t="inlineStr">
        <is>
          <t>eng</t>
        </is>
      </c>
      <c r="R690" t="inlineStr">
        <is>
          <t>dcu</t>
        </is>
      </c>
      <c r="S690" t="inlineStr">
        <is>
          <t>Health policy annual, 1056-2389 ; 4</t>
        </is>
      </c>
      <c r="T690" t="inlineStr">
        <is>
          <t xml:space="preserve">W  </t>
        </is>
      </c>
      <c r="U690" t="n">
        <v>8</v>
      </c>
      <c r="V690" t="n">
        <v>8</v>
      </c>
      <c r="W690" t="inlineStr">
        <is>
          <t>2000-02-14</t>
        </is>
      </c>
      <c r="X690" t="inlineStr">
        <is>
          <t>2000-02-14</t>
        </is>
      </c>
      <c r="Y690" t="inlineStr">
        <is>
          <t>1994-10-17</t>
        </is>
      </c>
      <c r="Z690" t="inlineStr">
        <is>
          <t>1994-10-17</t>
        </is>
      </c>
      <c r="AA690" t="n">
        <v>140</v>
      </c>
      <c r="AB690" t="n">
        <v>135</v>
      </c>
      <c r="AC690" t="n">
        <v>142</v>
      </c>
      <c r="AD690" t="n">
        <v>2</v>
      </c>
      <c r="AE690" t="n">
        <v>2</v>
      </c>
      <c r="AF690" t="n">
        <v>4</v>
      </c>
      <c r="AG690" t="n">
        <v>4</v>
      </c>
      <c r="AH690" t="n">
        <v>0</v>
      </c>
      <c r="AI690" t="n">
        <v>0</v>
      </c>
      <c r="AJ690" t="n">
        <v>2</v>
      </c>
      <c r="AK690" t="n">
        <v>2</v>
      </c>
      <c r="AL690" t="n">
        <v>3</v>
      </c>
      <c r="AM690" t="n">
        <v>3</v>
      </c>
      <c r="AN690" t="n">
        <v>0</v>
      </c>
      <c r="AO690" t="n">
        <v>0</v>
      </c>
      <c r="AP690" t="n">
        <v>0</v>
      </c>
      <c r="AQ690" t="n">
        <v>0</v>
      </c>
      <c r="AR690" t="inlineStr">
        <is>
          <t>No</t>
        </is>
      </c>
      <c r="AS690" t="inlineStr">
        <is>
          <t>Yes</t>
        </is>
      </c>
      <c r="AT690">
        <f>HYPERLINK("http://catalog.hathitrust.org/Record/002999150","HathiTrust Record")</f>
        <v/>
      </c>
      <c r="AU690">
        <f>HYPERLINK("https://creighton-primo.hosted.exlibrisgroup.com/primo-explore/search?tab=default_tab&amp;search_scope=EVERYTHING&amp;vid=01CRU&amp;lang=en_US&amp;offset=0&amp;query=any,contains,991000681129702656","Catalog Record")</f>
        <v/>
      </c>
      <c r="AV690">
        <f>HYPERLINK("http://www.worldcat.org/oclc/30359168","WorldCat Record")</f>
        <v/>
      </c>
      <c r="AW690" t="inlineStr">
        <is>
          <t>32082530:eng</t>
        </is>
      </c>
      <c r="AX690" t="inlineStr">
        <is>
          <t>30359168</t>
        </is>
      </c>
      <c r="AY690" t="inlineStr">
        <is>
          <t>991000681129702656</t>
        </is>
      </c>
      <c r="AZ690" t="inlineStr">
        <is>
          <t>991000681129702656</t>
        </is>
      </c>
      <c r="BA690" t="inlineStr">
        <is>
          <t>2256997350002656</t>
        </is>
      </c>
      <c r="BB690" t="inlineStr">
        <is>
          <t>BOOK</t>
        </is>
      </c>
      <c r="BD690" t="inlineStr">
        <is>
          <t>9781879694088</t>
        </is>
      </c>
      <c r="BE690" t="inlineStr">
        <is>
          <t>30001002697573</t>
        </is>
      </c>
      <c r="BF690" t="inlineStr">
        <is>
          <t>893120007</t>
        </is>
      </c>
    </row>
    <row r="691">
      <c r="A691" t="inlineStr">
        <is>
          <t>No</t>
        </is>
      </c>
      <c r="B691" t="inlineStr">
        <is>
          <t>CUHSL</t>
        </is>
      </c>
      <c r="C691" t="inlineStr">
        <is>
          <t>SHELVES</t>
        </is>
      </c>
      <c r="D691" t="inlineStr">
        <is>
          <t>W 76 I59a 1991</t>
        </is>
      </c>
      <c r="E691" t="inlineStr">
        <is>
          <t>0                      W  0076000I  59a         1991</t>
        </is>
      </c>
      <c r="F691" t="inlineStr">
        <is>
          <t>Addressing the physician shortage in occupational and environmental medicine : report of a study / Subcommittee on Physician Shortage, Committee on Enhancing the Practice of Occupational and Environmental Medicine, Division of Health Promotion and Disease Prevention, Institute of Medicine.</t>
        </is>
      </c>
      <c r="H691" t="inlineStr">
        <is>
          <t>No</t>
        </is>
      </c>
      <c r="I691" t="inlineStr">
        <is>
          <t>1</t>
        </is>
      </c>
      <c r="J691" t="inlineStr">
        <is>
          <t>No</t>
        </is>
      </c>
      <c r="K691" t="inlineStr">
        <is>
          <t>No</t>
        </is>
      </c>
      <c r="L691" t="inlineStr">
        <is>
          <t>0</t>
        </is>
      </c>
      <c r="M691" t="inlineStr">
        <is>
          <t>Institute of Medicine (U.S.). Committee on Enhancing the Practice of Occupational and Environmental Medicine. Subcommittee on Physician Shortage.</t>
        </is>
      </c>
      <c r="N691" t="inlineStr">
        <is>
          <t>Washington, D.C. : National Academy of Sciences, 1991.</t>
        </is>
      </c>
      <c r="O691" t="inlineStr">
        <is>
          <t>1991</t>
        </is>
      </c>
      <c r="Q691" t="inlineStr">
        <is>
          <t>eng</t>
        </is>
      </c>
      <c r="R691" t="inlineStr">
        <is>
          <t>dcu</t>
        </is>
      </c>
      <c r="S691" t="inlineStr">
        <is>
          <t>Publication ; no. IOM 91-03</t>
        </is>
      </c>
      <c r="T691" t="inlineStr">
        <is>
          <t xml:space="preserve">W  </t>
        </is>
      </c>
      <c r="U691" t="n">
        <v>1</v>
      </c>
      <c r="V691" t="n">
        <v>1</v>
      </c>
      <c r="W691" t="inlineStr">
        <is>
          <t>1992-04-02</t>
        </is>
      </c>
      <c r="X691" t="inlineStr">
        <is>
          <t>1992-04-02</t>
        </is>
      </c>
      <c r="Y691" t="inlineStr">
        <is>
          <t>1992-04-02</t>
        </is>
      </c>
      <c r="Z691" t="inlineStr">
        <is>
          <t>1992-04-02</t>
        </is>
      </c>
      <c r="AA691" t="n">
        <v>23</v>
      </c>
      <c r="AB691" t="n">
        <v>22</v>
      </c>
      <c r="AC691" t="n">
        <v>866</v>
      </c>
      <c r="AD691" t="n">
        <v>1</v>
      </c>
      <c r="AE691" t="n">
        <v>14</v>
      </c>
      <c r="AF691" t="n">
        <v>0</v>
      </c>
      <c r="AG691" t="n">
        <v>32</v>
      </c>
      <c r="AH691" t="n">
        <v>0</v>
      </c>
      <c r="AI691" t="n">
        <v>9</v>
      </c>
      <c r="AJ691" t="n">
        <v>0</v>
      </c>
      <c r="AK691" t="n">
        <v>8</v>
      </c>
      <c r="AL691" t="n">
        <v>0</v>
      </c>
      <c r="AM691" t="n">
        <v>7</v>
      </c>
      <c r="AN691" t="n">
        <v>0</v>
      </c>
      <c r="AO691" t="n">
        <v>12</v>
      </c>
      <c r="AP691" t="n">
        <v>0</v>
      </c>
      <c r="AQ691" t="n">
        <v>1</v>
      </c>
      <c r="AR691" t="inlineStr">
        <is>
          <t>No</t>
        </is>
      </c>
      <c r="AS691" t="inlineStr">
        <is>
          <t>No</t>
        </is>
      </c>
      <c r="AU691">
        <f>HYPERLINK("https://creighton-primo.hosted.exlibrisgroup.com/primo-explore/search?tab=default_tab&amp;search_scope=EVERYTHING&amp;vid=01CRU&amp;lang=en_US&amp;offset=0&amp;query=any,contains,991001299139702656","Catalog Record")</f>
        <v/>
      </c>
      <c r="AV691">
        <f>HYPERLINK("http://www.worldcat.org/oclc/26634595","WorldCat Record")</f>
        <v/>
      </c>
      <c r="AW691" t="inlineStr">
        <is>
          <t>3373017962:eng</t>
        </is>
      </c>
      <c r="AX691" t="inlineStr">
        <is>
          <t>26634595</t>
        </is>
      </c>
      <c r="AY691" t="inlineStr">
        <is>
          <t>991001299139702656</t>
        </is>
      </c>
      <c r="AZ691" t="inlineStr">
        <is>
          <t>991001299139702656</t>
        </is>
      </c>
      <c r="BA691" t="inlineStr">
        <is>
          <t>2262999290002656</t>
        </is>
      </c>
      <c r="BB691" t="inlineStr">
        <is>
          <t>BOOK</t>
        </is>
      </c>
      <c r="BE691" t="inlineStr">
        <is>
          <t>30001002411199</t>
        </is>
      </c>
      <c r="BF691" t="inlineStr">
        <is>
          <t>893161871</t>
        </is>
      </c>
    </row>
    <row r="692">
      <c r="A692" t="inlineStr">
        <is>
          <t>No</t>
        </is>
      </c>
      <c r="B692" t="inlineStr">
        <is>
          <t>CUHSL</t>
        </is>
      </c>
      <c r="C692" t="inlineStr">
        <is>
          <t>SHELVES</t>
        </is>
      </c>
      <c r="D692" t="inlineStr">
        <is>
          <t>W 76 N397 2003</t>
        </is>
      </c>
      <c r="E692" t="inlineStr">
        <is>
          <t>0                      W  0076000N  397         2003</t>
        </is>
      </c>
      <c r="F692" t="inlineStr">
        <is>
          <t>Neighborhoods and health / edited by Ichiro Kawachi, Lisa F. Berkman.</t>
        </is>
      </c>
      <c r="H692" t="inlineStr">
        <is>
          <t>No</t>
        </is>
      </c>
      <c r="I692" t="inlineStr">
        <is>
          <t>1</t>
        </is>
      </c>
      <c r="J692" t="inlineStr">
        <is>
          <t>No</t>
        </is>
      </c>
      <c r="K692" t="inlineStr">
        <is>
          <t>No</t>
        </is>
      </c>
      <c r="L692" t="inlineStr">
        <is>
          <t>0</t>
        </is>
      </c>
      <c r="N692" t="inlineStr">
        <is>
          <t>Oxford ; New York : Oxford University Press, 2003.</t>
        </is>
      </c>
      <c r="O692" t="inlineStr">
        <is>
          <t>2003</t>
        </is>
      </c>
      <c r="Q692" t="inlineStr">
        <is>
          <t>eng</t>
        </is>
      </c>
      <c r="R692" t="inlineStr">
        <is>
          <t>enk</t>
        </is>
      </c>
      <c r="T692" t="inlineStr">
        <is>
          <t xml:space="preserve">W  </t>
        </is>
      </c>
      <c r="U692" t="n">
        <v>5</v>
      </c>
      <c r="V692" t="n">
        <v>5</v>
      </c>
      <c r="W692" t="inlineStr">
        <is>
          <t>2005-05-10</t>
        </is>
      </c>
      <c r="X692" t="inlineStr">
        <is>
          <t>2005-05-10</t>
        </is>
      </c>
      <c r="Y692" t="inlineStr">
        <is>
          <t>2004-09-16</t>
        </is>
      </c>
      <c r="Z692" t="inlineStr">
        <is>
          <t>2004-09-16</t>
        </is>
      </c>
      <c r="AA692" t="n">
        <v>395</v>
      </c>
      <c r="AB692" t="n">
        <v>278</v>
      </c>
      <c r="AC692" t="n">
        <v>625</v>
      </c>
      <c r="AD692" t="n">
        <v>2</v>
      </c>
      <c r="AE692" t="n">
        <v>17</v>
      </c>
      <c r="AF692" t="n">
        <v>15</v>
      </c>
      <c r="AG692" t="n">
        <v>30</v>
      </c>
      <c r="AH692" t="n">
        <v>4</v>
      </c>
      <c r="AI692" t="n">
        <v>6</v>
      </c>
      <c r="AJ692" t="n">
        <v>4</v>
      </c>
      <c r="AK692" t="n">
        <v>7</v>
      </c>
      <c r="AL692" t="n">
        <v>8</v>
      </c>
      <c r="AM692" t="n">
        <v>9</v>
      </c>
      <c r="AN692" t="n">
        <v>1</v>
      </c>
      <c r="AO692" t="n">
        <v>9</v>
      </c>
      <c r="AP692" t="n">
        <v>0</v>
      </c>
      <c r="AQ692" t="n">
        <v>1</v>
      </c>
      <c r="AR692" t="inlineStr">
        <is>
          <t>No</t>
        </is>
      </c>
      <c r="AS692" t="inlineStr">
        <is>
          <t>No</t>
        </is>
      </c>
      <c r="AU692">
        <f>HYPERLINK("https://creighton-primo.hosted.exlibrisgroup.com/primo-explore/search?tab=default_tab&amp;search_scope=EVERYTHING&amp;vid=01CRU&amp;lang=en_US&amp;offset=0&amp;query=any,contains,991000392279702656","Catalog Record")</f>
        <v/>
      </c>
      <c r="AV692">
        <f>HYPERLINK("http://www.worldcat.org/oclc/50199084","WorldCat Record")</f>
        <v/>
      </c>
      <c r="AW692" t="inlineStr">
        <is>
          <t>1036996937:eng</t>
        </is>
      </c>
      <c r="AX692" t="inlineStr">
        <is>
          <t>50199084</t>
        </is>
      </c>
      <c r="AY692" t="inlineStr">
        <is>
          <t>991000392279702656</t>
        </is>
      </c>
      <c r="AZ692" t="inlineStr">
        <is>
          <t>991000392279702656</t>
        </is>
      </c>
      <c r="BA692" t="inlineStr">
        <is>
          <t>2271293120002656</t>
        </is>
      </c>
      <c r="BB692" t="inlineStr">
        <is>
          <t>BOOK</t>
        </is>
      </c>
      <c r="BD692" t="inlineStr">
        <is>
          <t>9780195138382</t>
        </is>
      </c>
      <c r="BE692" t="inlineStr">
        <is>
          <t>30001004840924</t>
        </is>
      </c>
      <c r="BF692" t="inlineStr">
        <is>
          <t>893633854</t>
        </is>
      </c>
    </row>
    <row r="693">
      <c r="A693" t="inlineStr">
        <is>
          <t>No</t>
        </is>
      </c>
      <c r="B693" t="inlineStr">
        <is>
          <t>CUHSL</t>
        </is>
      </c>
      <c r="C693" t="inlineStr">
        <is>
          <t>SHELVES</t>
        </is>
      </c>
      <c r="D693" t="inlineStr">
        <is>
          <t>W76 P578 2001</t>
        </is>
      </c>
      <c r="E693" t="inlineStr">
        <is>
          <t>0                      W  0076000P  578         2001</t>
        </is>
      </c>
      <c r="F693" t="inlineStr">
        <is>
          <t>Physician socioeconomic statistics, 2000-2002 edition : profiles for detailed specialities, selected states, and practice arrangements / edited by John D. Wassenaar, Sara L. Thran.</t>
        </is>
      </c>
      <c r="H693" t="inlineStr">
        <is>
          <t>No</t>
        </is>
      </c>
      <c r="I693" t="inlineStr">
        <is>
          <t>1</t>
        </is>
      </c>
      <c r="J693" t="inlineStr">
        <is>
          <t>No</t>
        </is>
      </c>
      <c r="K693" t="inlineStr">
        <is>
          <t>No</t>
        </is>
      </c>
      <c r="L693" t="inlineStr">
        <is>
          <t>0</t>
        </is>
      </c>
      <c r="N693" t="inlineStr">
        <is>
          <t>Chicago, IL : American Medical Association, Center for Health Policy Research, c2001</t>
        </is>
      </c>
      <c r="O693" t="inlineStr">
        <is>
          <t>2001</t>
        </is>
      </c>
      <c r="P693" t="inlineStr">
        <is>
          <t>2000-2002 edition</t>
        </is>
      </c>
      <c r="Q693" t="inlineStr">
        <is>
          <t>eng</t>
        </is>
      </c>
      <c r="R693" t="inlineStr">
        <is>
          <t>ilu</t>
        </is>
      </c>
      <c r="T693" t="inlineStr">
        <is>
          <t xml:space="preserve">W  </t>
        </is>
      </c>
      <c r="U693" t="n">
        <v>7</v>
      </c>
      <c r="V693" t="n">
        <v>7</v>
      </c>
      <c r="W693" t="inlineStr">
        <is>
          <t>2010-04-09</t>
        </is>
      </c>
      <c r="X693" t="inlineStr">
        <is>
          <t>2010-04-09</t>
        </is>
      </c>
      <c r="Y693" t="inlineStr">
        <is>
          <t>2002-07-10</t>
        </is>
      </c>
      <c r="Z693" t="inlineStr">
        <is>
          <t>2002-07-10</t>
        </is>
      </c>
      <c r="AA693" t="n">
        <v>16</v>
      </c>
      <c r="AB693" t="n">
        <v>15</v>
      </c>
      <c r="AC693" t="n">
        <v>20</v>
      </c>
      <c r="AD693" t="n">
        <v>1</v>
      </c>
      <c r="AE693" t="n">
        <v>1</v>
      </c>
      <c r="AF693" t="n">
        <v>0</v>
      </c>
      <c r="AG693" t="n">
        <v>0</v>
      </c>
      <c r="AH693" t="n">
        <v>0</v>
      </c>
      <c r="AI693" t="n">
        <v>0</v>
      </c>
      <c r="AJ693" t="n">
        <v>0</v>
      </c>
      <c r="AK693" t="n">
        <v>0</v>
      </c>
      <c r="AL693" t="n">
        <v>0</v>
      </c>
      <c r="AM693" t="n">
        <v>0</v>
      </c>
      <c r="AN693" t="n">
        <v>0</v>
      </c>
      <c r="AO693" t="n">
        <v>0</v>
      </c>
      <c r="AP693" t="n">
        <v>0</v>
      </c>
      <c r="AQ693" t="n">
        <v>0</v>
      </c>
      <c r="AR693" t="inlineStr">
        <is>
          <t>No</t>
        </is>
      </c>
      <c r="AS693" t="inlineStr">
        <is>
          <t>No</t>
        </is>
      </c>
      <c r="AU693">
        <f>HYPERLINK("https://creighton-primo.hosted.exlibrisgroup.com/primo-explore/search?tab=default_tab&amp;search_scope=EVERYTHING&amp;vid=01CRU&amp;lang=en_US&amp;offset=0&amp;query=any,contains,991000324479702656","Catalog Record")</f>
        <v/>
      </c>
      <c r="AV693">
        <f>HYPERLINK("http://www.worldcat.org/oclc/45803632","WorldCat Record")</f>
        <v/>
      </c>
      <c r="AW693" t="inlineStr">
        <is>
          <t>10368286458:eng</t>
        </is>
      </c>
      <c r="AX693" t="inlineStr">
        <is>
          <t>45803632</t>
        </is>
      </c>
      <c r="AY693" t="inlineStr">
        <is>
          <t>991000324479702656</t>
        </is>
      </c>
      <c r="AZ693" t="inlineStr">
        <is>
          <t>991000324479702656</t>
        </is>
      </c>
      <c r="BA693" t="inlineStr">
        <is>
          <t>2259757710002656</t>
        </is>
      </c>
      <c r="BB693" t="inlineStr">
        <is>
          <t>BOOK</t>
        </is>
      </c>
      <c r="BD693" t="inlineStr">
        <is>
          <t>9781579470883</t>
        </is>
      </c>
      <c r="BE693" t="inlineStr">
        <is>
          <t>30001004442739</t>
        </is>
      </c>
      <c r="BF693" t="inlineStr">
        <is>
          <t>893354205</t>
        </is>
      </c>
    </row>
    <row r="694">
      <c r="A694" t="inlineStr">
        <is>
          <t>No</t>
        </is>
      </c>
      <c r="B694" t="inlineStr">
        <is>
          <t>CUHSL</t>
        </is>
      </c>
      <c r="C694" t="inlineStr">
        <is>
          <t>SHELVES</t>
        </is>
      </c>
      <c r="D694" t="inlineStr">
        <is>
          <t>W 76 P578 2003</t>
        </is>
      </c>
      <c r="E694" t="inlineStr">
        <is>
          <t>0                      W  0076000P  578         2003</t>
        </is>
      </c>
      <c r="F694" t="inlineStr">
        <is>
          <t>Physician socioeconomic statistics : profiles for detailed specialities, selected states, and practice arrangements / edited by John D. Wassenaar, Sara L. Thran.</t>
        </is>
      </c>
      <c r="H694" t="inlineStr">
        <is>
          <t>No</t>
        </is>
      </c>
      <c r="I694" t="inlineStr">
        <is>
          <t>1</t>
        </is>
      </c>
      <c r="J694" t="inlineStr">
        <is>
          <t>No</t>
        </is>
      </c>
      <c r="K694" t="inlineStr">
        <is>
          <t>No</t>
        </is>
      </c>
      <c r="L694" t="inlineStr">
        <is>
          <t>0</t>
        </is>
      </c>
      <c r="N694" t="inlineStr">
        <is>
          <t>Chicago, IL : AMA Press, 2003.</t>
        </is>
      </c>
      <c r="O694" t="inlineStr">
        <is>
          <t>2003</t>
        </is>
      </c>
      <c r="P694" t="inlineStr">
        <is>
          <t>2003 ed.</t>
        </is>
      </c>
      <c r="Q694" t="inlineStr">
        <is>
          <t>eng</t>
        </is>
      </c>
      <c r="R694" t="inlineStr">
        <is>
          <t>ilu</t>
        </is>
      </c>
      <c r="T694" t="inlineStr">
        <is>
          <t xml:space="preserve">W  </t>
        </is>
      </c>
      <c r="U694" t="n">
        <v>11</v>
      </c>
      <c r="V694" t="n">
        <v>11</v>
      </c>
      <c r="W694" t="inlineStr">
        <is>
          <t>2005-05-27</t>
        </is>
      </c>
      <c r="X694" t="inlineStr">
        <is>
          <t>2005-05-27</t>
        </is>
      </c>
      <c r="Y694" t="inlineStr">
        <is>
          <t>2004-08-26</t>
        </is>
      </c>
      <c r="Z694" t="inlineStr">
        <is>
          <t>2004-08-26</t>
        </is>
      </c>
      <c r="AA694" t="n">
        <v>22</v>
      </c>
      <c r="AB694" t="n">
        <v>21</v>
      </c>
      <c r="AC694" t="n">
        <v>21</v>
      </c>
      <c r="AD694" t="n">
        <v>1</v>
      </c>
      <c r="AE694" t="n">
        <v>1</v>
      </c>
      <c r="AF694" t="n">
        <v>0</v>
      </c>
      <c r="AG694" t="n">
        <v>0</v>
      </c>
      <c r="AH694" t="n">
        <v>0</v>
      </c>
      <c r="AI694" t="n">
        <v>0</v>
      </c>
      <c r="AJ694" t="n">
        <v>0</v>
      </c>
      <c r="AK694" t="n">
        <v>0</v>
      </c>
      <c r="AL694" t="n">
        <v>0</v>
      </c>
      <c r="AM694" t="n">
        <v>0</v>
      </c>
      <c r="AN694" t="n">
        <v>0</v>
      </c>
      <c r="AO694" t="n">
        <v>0</v>
      </c>
      <c r="AP694" t="n">
        <v>0</v>
      </c>
      <c r="AQ694" t="n">
        <v>0</v>
      </c>
      <c r="AR694" t="inlineStr">
        <is>
          <t>No</t>
        </is>
      </c>
      <c r="AS694" t="inlineStr">
        <is>
          <t>No</t>
        </is>
      </c>
      <c r="AU694">
        <f>HYPERLINK("https://creighton-primo.hosted.exlibrisgroup.com/primo-explore/search?tab=default_tab&amp;search_scope=EVERYTHING&amp;vid=01CRU&amp;lang=en_US&amp;offset=0&amp;query=any,contains,991000378329702656","Catalog Record")</f>
        <v/>
      </c>
      <c r="AV694">
        <f>HYPERLINK("http://www.worldcat.org/oclc/52110493","WorldCat Record")</f>
        <v/>
      </c>
      <c r="AW694" t="inlineStr">
        <is>
          <t>9132367:eng</t>
        </is>
      </c>
      <c r="AX694" t="inlineStr">
        <is>
          <t>52110493</t>
        </is>
      </c>
      <c r="AY694" t="inlineStr">
        <is>
          <t>991000378329702656</t>
        </is>
      </c>
      <c r="AZ694" t="inlineStr">
        <is>
          <t>991000378329702656</t>
        </is>
      </c>
      <c r="BA694" t="inlineStr">
        <is>
          <t>22101747220002656</t>
        </is>
      </c>
      <c r="BB694" t="inlineStr">
        <is>
          <t>BOOK</t>
        </is>
      </c>
      <c r="BD694" t="inlineStr">
        <is>
          <t>9781579473549</t>
        </is>
      </c>
      <c r="BE694" t="inlineStr">
        <is>
          <t>30001004840080</t>
        </is>
      </c>
      <c r="BF694" t="inlineStr">
        <is>
          <t>893822105</t>
        </is>
      </c>
    </row>
    <row r="695">
      <c r="A695" t="inlineStr">
        <is>
          <t>No</t>
        </is>
      </c>
      <c r="B695" t="inlineStr">
        <is>
          <t>CUHSL</t>
        </is>
      </c>
      <c r="C695" t="inlineStr">
        <is>
          <t>SHELVES</t>
        </is>
      </c>
      <c r="D695" t="inlineStr">
        <is>
          <t>W 76 P5782 1993</t>
        </is>
      </c>
      <c r="E695" t="inlineStr">
        <is>
          <t>0                      W  0076000P  5782        1993</t>
        </is>
      </c>
      <c r="F695" t="inlineStr">
        <is>
          <t>Physician data by country, 1993 / Lillian Randolph.</t>
        </is>
      </c>
      <c r="G695" t="inlineStr">
        <is>
          <t>V. 1</t>
        </is>
      </c>
      <c r="H695" t="inlineStr">
        <is>
          <t>Yes</t>
        </is>
      </c>
      <c r="I695" t="inlineStr">
        <is>
          <t>1</t>
        </is>
      </c>
      <c r="J695" t="inlineStr">
        <is>
          <t>No</t>
        </is>
      </c>
      <c r="K695" t="inlineStr">
        <is>
          <t>No</t>
        </is>
      </c>
      <c r="L695" t="inlineStr">
        <is>
          <t>0</t>
        </is>
      </c>
      <c r="N695" t="inlineStr">
        <is>
          <t>Chicago : Dept. of Physician Data Services, Division of Survey &amp; Data Resources, American Medical Association, c1993.</t>
        </is>
      </c>
      <c r="O695" t="inlineStr">
        <is>
          <t>1993</t>
        </is>
      </c>
      <c r="Q695" t="inlineStr">
        <is>
          <t>eng</t>
        </is>
      </c>
      <c r="R695" t="inlineStr">
        <is>
          <t>ilu</t>
        </is>
      </c>
      <c r="T695" t="inlineStr">
        <is>
          <t xml:space="preserve">W  </t>
        </is>
      </c>
      <c r="U695" t="n">
        <v>2</v>
      </c>
      <c r="V695" t="n">
        <v>4</v>
      </c>
      <c r="W695" t="inlineStr">
        <is>
          <t>1993-12-20</t>
        </is>
      </c>
      <c r="X695" t="inlineStr">
        <is>
          <t>1993-12-20</t>
        </is>
      </c>
      <c r="Y695" t="inlineStr">
        <is>
          <t>1993-10-25</t>
        </is>
      </c>
      <c r="Z695" t="inlineStr">
        <is>
          <t>1993-10-25</t>
        </is>
      </c>
      <c r="AA695" t="n">
        <v>16</v>
      </c>
      <c r="AB695" t="n">
        <v>16</v>
      </c>
      <c r="AC695" t="n">
        <v>21</v>
      </c>
      <c r="AD695" t="n">
        <v>1</v>
      </c>
      <c r="AE695" t="n">
        <v>1</v>
      </c>
      <c r="AF695" t="n">
        <v>0</v>
      </c>
      <c r="AG695" t="n">
        <v>0</v>
      </c>
      <c r="AH695" t="n">
        <v>0</v>
      </c>
      <c r="AI695" t="n">
        <v>0</v>
      </c>
      <c r="AJ695" t="n">
        <v>0</v>
      </c>
      <c r="AK695" t="n">
        <v>0</v>
      </c>
      <c r="AL695" t="n">
        <v>0</v>
      </c>
      <c r="AM695" t="n">
        <v>0</v>
      </c>
      <c r="AN695" t="n">
        <v>0</v>
      </c>
      <c r="AO695" t="n">
        <v>0</v>
      </c>
      <c r="AP695" t="n">
        <v>0</v>
      </c>
      <c r="AQ695" t="n">
        <v>0</v>
      </c>
      <c r="AR695" t="inlineStr">
        <is>
          <t>No</t>
        </is>
      </c>
      <c r="AS695" t="inlineStr">
        <is>
          <t>No</t>
        </is>
      </c>
      <c r="AU695">
        <f>HYPERLINK("https://creighton-primo.hosted.exlibrisgroup.com/primo-explore/search?tab=default_tab&amp;search_scope=EVERYTHING&amp;vid=01CRU&amp;lang=en_US&amp;offset=0&amp;query=any,contains,991000546479702656","Catalog Record")</f>
        <v/>
      </c>
      <c r="AV695">
        <f>HYPERLINK("http://www.worldcat.org/oclc/29527423","WorldCat Record")</f>
        <v/>
      </c>
      <c r="AW695" t="inlineStr">
        <is>
          <t>31545418:eng</t>
        </is>
      </c>
      <c r="AX695" t="inlineStr">
        <is>
          <t>29527423</t>
        </is>
      </c>
      <c r="AY695" t="inlineStr">
        <is>
          <t>991000546479702656</t>
        </is>
      </c>
      <c r="AZ695" t="inlineStr">
        <is>
          <t>991000546479702656</t>
        </is>
      </c>
      <c r="BA695" t="inlineStr">
        <is>
          <t>2270878230002656</t>
        </is>
      </c>
      <c r="BB695" t="inlineStr">
        <is>
          <t>BOOK</t>
        </is>
      </c>
      <c r="BD695" t="inlineStr">
        <is>
          <t>9780899705552</t>
        </is>
      </c>
      <c r="BE695" t="inlineStr">
        <is>
          <t>30001002670489</t>
        </is>
      </c>
      <c r="BF695" t="inlineStr">
        <is>
          <t>893559838</t>
        </is>
      </c>
    </row>
    <row r="696">
      <c r="A696" t="inlineStr">
        <is>
          <t>No</t>
        </is>
      </c>
      <c r="B696" t="inlineStr">
        <is>
          <t>CUHSL</t>
        </is>
      </c>
      <c r="C696" t="inlineStr">
        <is>
          <t>SHELVES</t>
        </is>
      </c>
      <c r="D696" t="inlineStr">
        <is>
          <t>W 76 P5782 1993</t>
        </is>
      </c>
      <c r="E696" t="inlineStr">
        <is>
          <t>0                      W  0076000P  5782        1993</t>
        </is>
      </c>
      <c r="F696" t="inlineStr">
        <is>
          <t>Physician data by country, 1993 / Lillian Randolph.</t>
        </is>
      </c>
      <c r="G696" t="inlineStr">
        <is>
          <t>V. 2</t>
        </is>
      </c>
      <c r="H696" t="inlineStr">
        <is>
          <t>Yes</t>
        </is>
      </c>
      <c r="I696" t="inlineStr">
        <is>
          <t>1</t>
        </is>
      </c>
      <c r="J696" t="inlineStr">
        <is>
          <t>No</t>
        </is>
      </c>
      <c r="K696" t="inlineStr">
        <is>
          <t>No</t>
        </is>
      </c>
      <c r="L696" t="inlineStr">
        <is>
          <t>0</t>
        </is>
      </c>
      <c r="N696" t="inlineStr">
        <is>
          <t>Chicago : Dept. of Physician Data Services, Division of Survey &amp; Data Resources, American Medical Association, c1993.</t>
        </is>
      </c>
      <c r="O696" t="inlineStr">
        <is>
          <t>1993</t>
        </is>
      </c>
      <c r="Q696" t="inlineStr">
        <is>
          <t>eng</t>
        </is>
      </c>
      <c r="R696" t="inlineStr">
        <is>
          <t>ilu</t>
        </is>
      </c>
      <c r="T696" t="inlineStr">
        <is>
          <t xml:space="preserve">W  </t>
        </is>
      </c>
      <c r="U696" t="n">
        <v>2</v>
      </c>
      <c r="V696" t="n">
        <v>4</v>
      </c>
      <c r="W696" t="inlineStr">
        <is>
          <t>1993-12-20</t>
        </is>
      </c>
      <c r="X696" t="inlineStr">
        <is>
          <t>1993-12-20</t>
        </is>
      </c>
      <c r="Y696" t="inlineStr">
        <is>
          <t>1993-10-25</t>
        </is>
      </c>
      <c r="Z696" t="inlineStr">
        <is>
          <t>1993-10-25</t>
        </is>
      </c>
      <c r="AA696" t="n">
        <v>16</v>
      </c>
      <c r="AB696" t="n">
        <v>16</v>
      </c>
      <c r="AC696" t="n">
        <v>21</v>
      </c>
      <c r="AD696" t="n">
        <v>1</v>
      </c>
      <c r="AE696" t="n">
        <v>1</v>
      </c>
      <c r="AF696" t="n">
        <v>0</v>
      </c>
      <c r="AG696" t="n">
        <v>0</v>
      </c>
      <c r="AH696" t="n">
        <v>0</v>
      </c>
      <c r="AI696" t="n">
        <v>0</v>
      </c>
      <c r="AJ696" t="n">
        <v>0</v>
      </c>
      <c r="AK696" t="n">
        <v>0</v>
      </c>
      <c r="AL696" t="n">
        <v>0</v>
      </c>
      <c r="AM696" t="n">
        <v>0</v>
      </c>
      <c r="AN696" t="n">
        <v>0</v>
      </c>
      <c r="AO696" t="n">
        <v>0</v>
      </c>
      <c r="AP696" t="n">
        <v>0</v>
      </c>
      <c r="AQ696" t="n">
        <v>0</v>
      </c>
      <c r="AR696" t="inlineStr">
        <is>
          <t>No</t>
        </is>
      </c>
      <c r="AS696" t="inlineStr">
        <is>
          <t>No</t>
        </is>
      </c>
      <c r="AU696">
        <f>HYPERLINK("https://creighton-primo.hosted.exlibrisgroup.com/primo-explore/search?tab=default_tab&amp;search_scope=EVERYTHING&amp;vid=01CRU&amp;lang=en_US&amp;offset=0&amp;query=any,contains,991000546479702656","Catalog Record")</f>
        <v/>
      </c>
      <c r="AV696">
        <f>HYPERLINK("http://www.worldcat.org/oclc/29527423","WorldCat Record")</f>
        <v/>
      </c>
      <c r="AW696" t="inlineStr">
        <is>
          <t>31545418:eng</t>
        </is>
      </c>
      <c r="AX696" t="inlineStr">
        <is>
          <t>29527423</t>
        </is>
      </c>
      <c r="AY696" t="inlineStr">
        <is>
          <t>991000546479702656</t>
        </is>
      </c>
      <c r="AZ696" t="inlineStr">
        <is>
          <t>991000546479702656</t>
        </is>
      </c>
      <c r="BA696" t="inlineStr">
        <is>
          <t>2270878230002656</t>
        </is>
      </c>
      <c r="BB696" t="inlineStr">
        <is>
          <t>BOOK</t>
        </is>
      </c>
      <c r="BD696" t="inlineStr">
        <is>
          <t>9780899705552</t>
        </is>
      </c>
      <c r="BE696" t="inlineStr">
        <is>
          <t>30001002670448</t>
        </is>
      </c>
      <c r="BF696" t="inlineStr">
        <is>
          <t>893559837</t>
        </is>
      </c>
    </row>
    <row r="697">
      <c r="A697" t="inlineStr">
        <is>
          <t>No</t>
        </is>
      </c>
      <c r="B697" t="inlineStr">
        <is>
          <t>CUHSL</t>
        </is>
      </c>
      <c r="C697" t="inlineStr">
        <is>
          <t>SHELVES</t>
        </is>
      </c>
      <c r="D697" t="inlineStr">
        <is>
          <t>W76 P5782 2003</t>
        </is>
      </c>
      <c r="E697" t="inlineStr">
        <is>
          <t>0                      W  0076000P  5782        2003</t>
        </is>
      </c>
      <c r="F697" t="inlineStr">
        <is>
          <t>Physician compensation and production survey : 2004 report based on 2003 data / Medical Group Management Association, Survey Operations Department.</t>
        </is>
      </c>
      <c r="H697" t="inlineStr">
        <is>
          <t>No</t>
        </is>
      </c>
      <c r="I697" t="inlineStr">
        <is>
          <t>1</t>
        </is>
      </c>
      <c r="J697" t="inlineStr">
        <is>
          <t>No</t>
        </is>
      </c>
      <c r="K697" t="inlineStr">
        <is>
          <t>Yes</t>
        </is>
      </c>
      <c r="L697" t="inlineStr">
        <is>
          <t>0</t>
        </is>
      </c>
      <c r="N697" t="inlineStr">
        <is>
          <t>[Englewood, Colo.] : MGMA, c2004.</t>
        </is>
      </c>
      <c r="O697" t="inlineStr">
        <is>
          <t>2004</t>
        </is>
      </c>
      <c r="Q697" t="inlineStr">
        <is>
          <t>eng</t>
        </is>
      </c>
      <c r="R697" t="inlineStr">
        <is>
          <t>cou</t>
        </is>
      </c>
      <c r="T697" t="inlineStr">
        <is>
          <t xml:space="preserve">W  </t>
        </is>
      </c>
      <c r="U697" t="n">
        <v>1</v>
      </c>
      <c r="V697" t="n">
        <v>1</v>
      </c>
      <c r="W697" t="inlineStr">
        <is>
          <t>2008-05-06</t>
        </is>
      </c>
      <c r="X697" t="inlineStr">
        <is>
          <t>2008-05-06</t>
        </is>
      </c>
      <c r="Y697" t="inlineStr">
        <is>
          <t>2008-02-14</t>
        </is>
      </c>
      <c r="Z697" t="inlineStr">
        <is>
          <t>2008-02-14</t>
        </is>
      </c>
      <c r="AA697" t="n">
        <v>8</v>
      </c>
      <c r="AB697" t="n">
        <v>8</v>
      </c>
      <c r="AC697" t="n">
        <v>39</v>
      </c>
      <c r="AD697" t="n">
        <v>1</v>
      </c>
      <c r="AE697" t="n">
        <v>1</v>
      </c>
      <c r="AF697" t="n">
        <v>0</v>
      </c>
      <c r="AG697" t="n">
        <v>2</v>
      </c>
      <c r="AH697" t="n">
        <v>0</v>
      </c>
      <c r="AI697" t="n">
        <v>1</v>
      </c>
      <c r="AJ697" t="n">
        <v>0</v>
      </c>
      <c r="AK697" t="n">
        <v>1</v>
      </c>
      <c r="AL697" t="n">
        <v>0</v>
      </c>
      <c r="AM697" t="n">
        <v>0</v>
      </c>
      <c r="AN697" t="n">
        <v>0</v>
      </c>
      <c r="AO697" t="n">
        <v>0</v>
      </c>
      <c r="AP697" t="n">
        <v>0</v>
      </c>
      <c r="AQ697" t="n">
        <v>0</v>
      </c>
      <c r="AR697" t="inlineStr">
        <is>
          <t>No</t>
        </is>
      </c>
      <c r="AS697" t="inlineStr">
        <is>
          <t>No</t>
        </is>
      </c>
      <c r="AU697">
        <f>HYPERLINK("https://creighton-primo.hosted.exlibrisgroup.com/primo-explore/search?tab=default_tab&amp;search_scope=EVERYTHING&amp;vid=01CRU&amp;lang=en_US&amp;offset=0&amp;query=any,contains,991000033259702656","Catalog Record")</f>
        <v/>
      </c>
      <c r="AV697">
        <f>HYPERLINK("http://www.worldcat.org/oclc/56937638","WorldCat Record")</f>
        <v/>
      </c>
      <c r="AW697" t="inlineStr">
        <is>
          <t>2258098525:eng</t>
        </is>
      </c>
      <c r="AX697" t="inlineStr">
        <is>
          <t>56937638</t>
        </is>
      </c>
      <c r="AY697" t="inlineStr">
        <is>
          <t>991000033259702656</t>
        </is>
      </c>
      <c r="AZ697" t="inlineStr">
        <is>
          <t>991000033259702656</t>
        </is>
      </c>
      <c r="BA697" t="inlineStr">
        <is>
          <t>2256227960002656</t>
        </is>
      </c>
      <c r="BB697" t="inlineStr">
        <is>
          <t>BOOK</t>
        </is>
      </c>
      <c r="BD697" t="inlineStr">
        <is>
          <t>9781568290720</t>
        </is>
      </c>
      <c r="BE697" t="inlineStr">
        <is>
          <t>30001004913168</t>
        </is>
      </c>
      <c r="BF697" t="inlineStr">
        <is>
          <t>893827169</t>
        </is>
      </c>
    </row>
    <row r="698">
      <c r="A698" t="inlineStr">
        <is>
          <t>No</t>
        </is>
      </c>
      <c r="B698" t="inlineStr">
        <is>
          <t>CUHSL</t>
        </is>
      </c>
      <c r="C698" t="inlineStr">
        <is>
          <t>SHELVES</t>
        </is>
      </c>
      <c r="D698" t="inlineStr">
        <is>
          <t>W76 P57867 1990</t>
        </is>
      </c>
      <c r="E698" t="inlineStr">
        <is>
          <t>0                      W  0076000P  57867       1990</t>
        </is>
      </c>
      <c r="F698" t="inlineStr">
        <is>
          <t>Physician marketplace statistics 1990 : profiles for detailed specialties, selected states and practice arrangements.</t>
        </is>
      </c>
      <c r="H698" t="inlineStr">
        <is>
          <t>No</t>
        </is>
      </c>
      <c r="I698" t="inlineStr">
        <is>
          <t>1</t>
        </is>
      </c>
      <c r="J698" t="inlineStr">
        <is>
          <t>No</t>
        </is>
      </c>
      <c r="K698" t="inlineStr">
        <is>
          <t>No</t>
        </is>
      </c>
      <c r="L698" t="inlineStr">
        <is>
          <t>0</t>
        </is>
      </c>
      <c r="N698" t="inlineStr">
        <is>
          <t>Chicago, Ill. : American Medical Association, c1990.</t>
        </is>
      </c>
      <c r="O698" t="inlineStr">
        <is>
          <t>1990</t>
        </is>
      </c>
      <c r="Q698" t="inlineStr">
        <is>
          <t>eng</t>
        </is>
      </c>
      <c r="R698" t="inlineStr">
        <is>
          <t xml:space="preserve">xx </t>
        </is>
      </c>
      <c r="T698" t="inlineStr">
        <is>
          <t xml:space="preserve">W  </t>
        </is>
      </c>
      <c r="U698" t="n">
        <v>10</v>
      </c>
      <c r="V698" t="n">
        <v>10</v>
      </c>
      <c r="W698" t="inlineStr">
        <is>
          <t>1992-12-19</t>
        </is>
      </c>
      <c r="X698" t="inlineStr">
        <is>
          <t>1992-12-19</t>
        </is>
      </c>
      <c r="Y698" t="inlineStr">
        <is>
          <t>1990-08-21</t>
        </is>
      </c>
      <c r="Z698" t="inlineStr">
        <is>
          <t>1990-08-21</t>
        </is>
      </c>
      <c r="AA698" t="n">
        <v>9</v>
      </c>
      <c r="AB698" t="n">
        <v>9</v>
      </c>
      <c r="AC698" t="n">
        <v>9</v>
      </c>
      <c r="AD698" t="n">
        <v>1</v>
      </c>
      <c r="AE698" t="n">
        <v>1</v>
      </c>
      <c r="AF698" t="n">
        <v>0</v>
      </c>
      <c r="AG698" t="n">
        <v>0</v>
      </c>
      <c r="AH698" t="n">
        <v>0</v>
      </c>
      <c r="AI698" t="n">
        <v>0</v>
      </c>
      <c r="AJ698" t="n">
        <v>0</v>
      </c>
      <c r="AK698" t="n">
        <v>0</v>
      </c>
      <c r="AL698" t="n">
        <v>0</v>
      </c>
      <c r="AM698" t="n">
        <v>0</v>
      </c>
      <c r="AN698" t="n">
        <v>0</v>
      </c>
      <c r="AO698" t="n">
        <v>0</v>
      </c>
      <c r="AP698" t="n">
        <v>0</v>
      </c>
      <c r="AQ698" t="n">
        <v>0</v>
      </c>
      <c r="AR698" t="inlineStr">
        <is>
          <t>No</t>
        </is>
      </c>
      <c r="AS698" t="inlineStr">
        <is>
          <t>No</t>
        </is>
      </c>
      <c r="AU698">
        <f>HYPERLINK("https://creighton-primo.hosted.exlibrisgroup.com/primo-explore/search?tab=default_tab&amp;search_scope=EVERYTHING&amp;vid=01CRU&amp;lang=en_US&amp;offset=0&amp;query=any,contains,991001453939702656","Catalog Record")</f>
        <v/>
      </c>
      <c r="AV698">
        <f>HYPERLINK("http://www.worldcat.org/oclc/23129375","WorldCat Record")</f>
        <v/>
      </c>
      <c r="AW698" t="inlineStr">
        <is>
          <t>3856663657:eng</t>
        </is>
      </c>
      <c r="AX698" t="inlineStr">
        <is>
          <t>23129375</t>
        </is>
      </c>
      <c r="AY698" t="inlineStr">
        <is>
          <t>991001453939702656</t>
        </is>
      </c>
      <c r="AZ698" t="inlineStr">
        <is>
          <t>991001453939702656</t>
        </is>
      </c>
      <c r="BA698" t="inlineStr">
        <is>
          <t>2262870630002656</t>
        </is>
      </c>
      <c r="BB698" t="inlineStr">
        <is>
          <t>BOOK</t>
        </is>
      </c>
      <c r="BD698" t="inlineStr">
        <is>
          <t>9780899703824</t>
        </is>
      </c>
      <c r="BE698" t="inlineStr">
        <is>
          <t>30001001884255</t>
        </is>
      </c>
      <c r="BF698" t="inlineStr">
        <is>
          <t>893821230</t>
        </is>
      </c>
    </row>
    <row r="699">
      <c r="A699" t="inlineStr">
        <is>
          <t>No</t>
        </is>
      </c>
      <c r="B699" t="inlineStr">
        <is>
          <t>CUHSL</t>
        </is>
      </c>
      <c r="C699" t="inlineStr">
        <is>
          <t>SHELVES</t>
        </is>
      </c>
      <c r="D699" t="inlineStr">
        <is>
          <t>W76 P57867 1991</t>
        </is>
      </c>
      <c r="E699" t="inlineStr">
        <is>
          <t>0                      W  0076000P  57867       1991</t>
        </is>
      </c>
      <c r="F699" t="inlineStr">
        <is>
          <t>Physician marketplace statistics 1991 : profiles for detailed specialities, selected states, and practice arrangements / edited by Martin L. Gonzalez.</t>
        </is>
      </c>
      <c r="H699" t="inlineStr">
        <is>
          <t>No</t>
        </is>
      </c>
      <c r="I699" t="inlineStr">
        <is>
          <t>1</t>
        </is>
      </c>
      <c r="J699" t="inlineStr">
        <is>
          <t>No</t>
        </is>
      </c>
      <c r="K699" t="inlineStr">
        <is>
          <t>No</t>
        </is>
      </c>
      <c r="L699" t="inlineStr">
        <is>
          <t>0</t>
        </is>
      </c>
      <c r="N699" t="inlineStr">
        <is>
          <t>Chicago, Ill. : American Medical Association, c1991.</t>
        </is>
      </c>
      <c r="O699" t="inlineStr">
        <is>
          <t>1991</t>
        </is>
      </c>
      <c r="Q699" t="inlineStr">
        <is>
          <t>eng</t>
        </is>
      </c>
      <c r="R699" t="inlineStr">
        <is>
          <t>ilu</t>
        </is>
      </c>
      <c r="T699" t="inlineStr">
        <is>
          <t xml:space="preserve">W  </t>
        </is>
      </c>
      <c r="U699" t="n">
        <v>12</v>
      </c>
      <c r="V699" t="n">
        <v>12</v>
      </c>
      <c r="W699" t="inlineStr">
        <is>
          <t>1992-08-19</t>
        </is>
      </c>
      <c r="X699" t="inlineStr">
        <is>
          <t>1992-08-19</t>
        </is>
      </c>
      <c r="Y699" t="inlineStr">
        <is>
          <t>1992-07-31</t>
        </is>
      </c>
      <c r="Z699" t="inlineStr">
        <is>
          <t>1992-07-31</t>
        </is>
      </c>
      <c r="AA699" t="n">
        <v>9</v>
      </c>
      <c r="AB699" t="n">
        <v>9</v>
      </c>
      <c r="AC699" t="n">
        <v>9</v>
      </c>
      <c r="AD699" t="n">
        <v>1</v>
      </c>
      <c r="AE699" t="n">
        <v>1</v>
      </c>
      <c r="AF699" t="n">
        <v>0</v>
      </c>
      <c r="AG699" t="n">
        <v>0</v>
      </c>
      <c r="AH699" t="n">
        <v>0</v>
      </c>
      <c r="AI699" t="n">
        <v>0</v>
      </c>
      <c r="AJ699" t="n">
        <v>0</v>
      </c>
      <c r="AK699" t="n">
        <v>0</v>
      </c>
      <c r="AL699" t="n">
        <v>0</v>
      </c>
      <c r="AM699" t="n">
        <v>0</v>
      </c>
      <c r="AN699" t="n">
        <v>0</v>
      </c>
      <c r="AO699" t="n">
        <v>0</v>
      </c>
      <c r="AP699" t="n">
        <v>0</v>
      </c>
      <c r="AQ699" t="n">
        <v>0</v>
      </c>
      <c r="AR699" t="inlineStr">
        <is>
          <t>No</t>
        </is>
      </c>
      <c r="AS699" t="inlineStr">
        <is>
          <t>No</t>
        </is>
      </c>
      <c r="AU699">
        <f>HYPERLINK("https://creighton-primo.hosted.exlibrisgroup.com/primo-explore/search?tab=default_tab&amp;search_scope=EVERYTHING&amp;vid=01CRU&amp;lang=en_US&amp;offset=0&amp;query=any,contains,991001306189702656","Catalog Record")</f>
        <v/>
      </c>
      <c r="AV699">
        <f>HYPERLINK("http://www.worldcat.org/oclc/25649066","WorldCat Record")</f>
        <v/>
      </c>
      <c r="AW699" t="inlineStr">
        <is>
          <t>28416889:eng</t>
        </is>
      </c>
      <c r="AX699" t="inlineStr">
        <is>
          <t>25649066</t>
        </is>
      </c>
      <c r="AY699" t="inlineStr">
        <is>
          <t>991001306189702656</t>
        </is>
      </c>
      <c r="AZ699" t="inlineStr">
        <is>
          <t>991001306189702656</t>
        </is>
      </c>
      <c r="BA699" t="inlineStr">
        <is>
          <t>2268182040002656</t>
        </is>
      </c>
      <c r="BB699" t="inlineStr">
        <is>
          <t>BOOK</t>
        </is>
      </c>
      <c r="BD699" t="inlineStr">
        <is>
          <t>9780899704180</t>
        </is>
      </c>
      <c r="BE699" t="inlineStr">
        <is>
          <t>30001002413880</t>
        </is>
      </c>
      <c r="BF699" t="inlineStr">
        <is>
          <t>893465395</t>
        </is>
      </c>
    </row>
    <row r="700">
      <c r="A700" t="inlineStr">
        <is>
          <t>No</t>
        </is>
      </c>
      <c r="B700" t="inlineStr">
        <is>
          <t>CUHSL</t>
        </is>
      </c>
      <c r="C700" t="inlineStr">
        <is>
          <t>SHELVES</t>
        </is>
      </c>
      <c r="D700" t="inlineStr">
        <is>
          <t>W76 P57867 1994</t>
        </is>
      </c>
      <c r="E700" t="inlineStr">
        <is>
          <t>0                      W  0076000P  57867       1994</t>
        </is>
      </c>
      <c r="F700" t="inlineStr">
        <is>
          <t>Physician marketplace statistics 1994 : profiles for detailed specialties, selected states, and practice arrangements / edited by Martin L. Gonzalez.</t>
        </is>
      </c>
      <c r="H700" t="inlineStr">
        <is>
          <t>No</t>
        </is>
      </c>
      <c r="I700" t="inlineStr">
        <is>
          <t>1</t>
        </is>
      </c>
      <c r="J700" t="inlineStr">
        <is>
          <t>No</t>
        </is>
      </c>
      <c r="K700" t="inlineStr">
        <is>
          <t>No</t>
        </is>
      </c>
      <c r="L700" t="inlineStr">
        <is>
          <t>0</t>
        </is>
      </c>
      <c r="N700" t="inlineStr">
        <is>
          <t>Chicago, Ill. : American Medical Association, c1994.</t>
        </is>
      </c>
      <c r="O700" t="inlineStr">
        <is>
          <t>1994</t>
        </is>
      </c>
      <c r="Q700" t="inlineStr">
        <is>
          <t>eng</t>
        </is>
      </c>
      <c r="R700" t="inlineStr">
        <is>
          <t>ilu</t>
        </is>
      </c>
      <c r="T700" t="inlineStr">
        <is>
          <t xml:space="preserve">W  </t>
        </is>
      </c>
      <c r="U700" t="n">
        <v>3</v>
      </c>
      <c r="V700" t="n">
        <v>3</v>
      </c>
      <c r="W700" t="inlineStr">
        <is>
          <t>2005-05-27</t>
        </is>
      </c>
      <c r="X700" t="inlineStr">
        <is>
          <t>2005-05-27</t>
        </is>
      </c>
      <c r="Y700" t="inlineStr">
        <is>
          <t>1995-02-24</t>
        </is>
      </c>
      <c r="Z700" t="inlineStr">
        <is>
          <t>1995-02-24</t>
        </is>
      </c>
      <c r="AA700" t="n">
        <v>19</v>
      </c>
      <c r="AB700" t="n">
        <v>17</v>
      </c>
      <c r="AC700" t="n">
        <v>17</v>
      </c>
      <c r="AD700" t="n">
        <v>1</v>
      </c>
      <c r="AE700" t="n">
        <v>1</v>
      </c>
      <c r="AF700" t="n">
        <v>0</v>
      </c>
      <c r="AG700" t="n">
        <v>0</v>
      </c>
      <c r="AH700" t="n">
        <v>0</v>
      </c>
      <c r="AI700" t="n">
        <v>0</v>
      </c>
      <c r="AJ700" t="n">
        <v>0</v>
      </c>
      <c r="AK700" t="n">
        <v>0</v>
      </c>
      <c r="AL700" t="n">
        <v>0</v>
      </c>
      <c r="AM700" t="n">
        <v>0</v>
      </c>
      <c r="AN700" t="n">
        <v>0</v>
      </c>
      <c r="AO700" t="n">
        <v>0</v>
      </c>
      <c r="AP700" t="n">
        <v>0</v>
      </c>
      <c r="AQ700" t="n">
        <v>0</v>
      </c>
      <c r="AR700" t="inlineStr">
        <is>
          <t>No</t>
        </is>
      </c>
      <c r="AS700" t="inlineStr">
        <is>
          <t>No</t>
        </is>
      </c>
      <c r="AU700">
        <f>HYPERLINK("https://creighton-primo.hosted.exlibrisgroup.com/primo-explore/search?tab=default_tab&amp;search_scope=EVERYTHING&amp;vid=01CRU&amp;lang=en_US&amp;offset=0&amp;query=any,contains,991001397709702656","Catalog Record")</f>
        <v/>
      </c>
      <c r="AV700">
        <f>HYPERLINK("http://www.worldcat.org/oclc/31991543","WorldCat Record")</f>
        <v/>
      </c>
      <c r="AW700" t="inlineStr">
        <is>
          <t>15035862:eng</t>
        </is>
      </c>
      <c r="AX700" t="inlineStr">
        <is>
          <t>31991543</t>
        </is>
      </c>
      <c r="AY700" t="inlineStr">
        <is>
          <t>991001397709702656</t>
        </is>
      </c>
      <c r="AZ700" t="inlineStr">
        <is>
          <t>991001397709702656</t>
        </is>
      </c>
      <c r="BA700" t="inlineStr">
        <is>
          <t>2269817100002656</t>
        </is>
      </c>
      <c r="BB700" t="inlineStr">
        <is>
          <t>BOOK</t>
        </is>
      </c>
      <c r="BD700" t="inlineStr">
        <is>
          <t>9780899706764</t>
        </is>
      </c>
      <c r="BE700" t="inlineStr">
        <is>
          <t>30001003146604</t>
        </is>
      </c>
      <c r="BF700" t="inlineStr">
        <is>
          <t>893168160</t>
        </is>
      </c>
    </row>
    <row r="701">
      <c r="A701" t="inlineStr">
        <is>
          <t>No</t>
        </is>
      </c>
      <c r="B701" t="inlineStr">
        <is>
          <t>CUHSL</t>
        </is>
      </c>
      <c r="C701" t="inlineStr">
        <is>
          <t>SHELVES</t>
        </is>
      </c>
      <c r="D701" t="inlineStr">
        <is>
          <t>W76 P57867 1995</t>
        </is>
      </c>
      <c r="E701" t="inlineStr">
        <is>
          <t>0                      W  0076000P  57867       1995</t>
        </is>
      </c>
      <c r="F701" t="inlineStr">
        <is>
          <t>Physician marketplace statistics 1995 : profiles for detailed specialties, selected states, and practice arrangements / edited by Martin L. Gonzalez.</t>
        </is>
      </c>
      <c r="H701" t="inlineStr">
        <is>
          <t>No</t>
        </is>
      </c>
      <c r="I701" t="inlineStr">
        <is>
          <t>1</t>
        </is>
      </c>
      <c r="J701" t="inlineStr">
        <is>
          <t>No</t>
        </is>
      </c>
      <c r="K701" t="inlineStr">
        <is>
          <t>No</t>
        </is>
      </c>
      <c r="L701" t="inlineStr">
        <is>
          <t>0</t>
        </is>
      </c>
      <c r="N701" t="inlineStr">
        <is>
          <t>Chicago, Ill. : American Medical Association, c1995.</t>
        </is>
      </c>
      <c r="O701" t="inlineStr">
        <is>
          <t>1995</t>
        </is>
      </c>
      <c r="Q701" t="inlineStr">
        <is>
          <t>eng</t>
        </is>
      </c>
      <c r="R701" t="inlineStr">
        <is>
          <t>ilu</t>
        </is>
      </c>
      <c r="T701" t="inlineStr">
        <is>
          <t xml:space="preserve">W  </t>
        </is>
      </c>
      <c r="U701" t="n">
        <v>7</v>
      </c>
      <c r="V701" t="n">
        <v>7</v>
      </c>
      <c r="W701" t="inlineStr">
        <is>
          <t>2005-05-27</t>
        </is>
      </c>
      <c r="X701" t="inlineStr">
        <is>
          <t>2005-05-27</t>
        </is>
      </c>
      <c r="Y701" t="inlineStr">
        <is>
          <t>1996-02-14</t>
        </is>
      </c>
      <c r="Z701" t="inlineStr">
        <is>
          <t>1996-02-14</t>
        </is>
      </c>
      <c r="AA701" t="n">
        <v>21</v>
      </c>
      <c r="AB701" t="n">
        <v>21</v>
      </c>
      <c r="AC701" t="n">
        <v>22</v>
      </c>
      <c r="AD701" t="n">
        <v>1</v>
      </c>
      <c r="AE701" t="n">
        <v>1</v>
      </c>
      <c r="AF701" t="n">
        <v>0</v>
      </c>
      <c r="AG701" t="n">
        <v>0</v>
      </c>
      <c r="AH701" t="n">
        <v>0</v>
      </c>
      <c r="AI701" t="n">
        <v>0</v>
      </c>
      <c r="AJ701" t="n">
        <v>0</v>
      </c>
      <c r="AK701" t="n">
        <v>0</v>
      </c>
      <c r="AL701" t="n">
        <v>0</v>
      </c>
      <c r="AM701" t="n">
        <v>0</v>
      </c>
      <c r="AN701" t="n">
        <v>0</v>
      </c>
      <c r="AO701" t="n">
        <v>0</v>
      </c>
      <c r="AP701" t="n">
        <v>0</v>
      </c>
      <c r="AQ701" t="n">
        <v>0</v>
      </c>
      <c r="AR701" t="inlineStr">
        <is>
          <t>No</t>
        </is>
      </c>
      <c r="AS701" t="inlineStr">
        <is>
          <t>No</t>
        </is>
      </c>
      <c r="AU701">
        <f>HYPERLINK("https://creighton-primo.hosted.exlibrisgroup.com/primo-explore/search?tab=default_tab&amp;search_scope=EVERYTHING&amp;vid=01CRU&amp;lang=en_US&amp;offset=0&amp;query=any,contains,991001504949702656","Catalog Record")</f>
        <v/>
      </c>
      <c r="AV701">
        <f>HYPERLINK("http://www.worldcat.org/oclc/34104056","WorldCat Record")</f>
        <v/>
      </c>
      <c r="AW701" t="inlineStr">
        <is>
          <t>38748593:eng</t>
        </is>
      </c>
      <c r="AX701" t="inlineStr">
        <is>
          <t>34104056</t>
        </is>
      </c>
      <c r="AY701" t="inlineStr">
        <is>
          <t>991001504949702656</t>
        </is>
      </c>
      <c r="AZ701" t="inlineStr">
        <is>
          <t>991001504949702656</t>
        </is>
      </c>
      <c r="BA701" t="inlineStr">
        <is>
          <t>2267484770002656</t>
        </is>
      </c>
      <c r="BB701" t="inlineStr">
        <is>
          <t>BOOK</t>
        </is>
      </c>
      <c r="BD701" t="inlineStr">
        <is>
          <t>9780899707365</t>
        </is>
      </c>
      <c r="BE701" t="inlineStr">
        <is>
          <t>30001003263953</t>
        </is>
      </c>
      <c r="BF701" t="inlineStr">
        <is>
          <t>893364209</t>
        </is>
      </c>
    </row>
    <row r="702">
      <c r="A702" t="inlineStr">
        <is>
          <t>No</t>
        </is>
      </c>
      <c r="B702" t="inlineStr">
        <is>
          <t>CUHSL</t>
        </is>
      </c>
      <c r="C702" t="inlineStr">
        <is>
          <t>SHELVES</t>
        </is>
      </c>
      <c r="D702" t="inlineStr">
        <is>
          <t>W76 P57867 1998</t>
        </is>
      </c>
      <c r="E702" t="inlineStr">
        <is>
          <t>0                      W  0076000P  57867       1998</t>
        </is>
      </c>
      <c r="F702" t="inlineStr">
        <is>
          <t>Physician marketplace statistics 1997/98 : profiles for detailed specialties, selected states, and practice arrangements / edited by Martin L. Gonzalez, Puling Zhang.</t>
        </is>
      </c>
      <c r="H702" t="inlineStr">
        <is>
          <t>No</t>
        </is>
      </c>
      <c r="I702" t="inlineStr">
        <is>
          <t>1</t>
        </is>
      </c>
      <c r="J702" t="inlineStr">
        <is>
          <t>No</t>
        </is>
      </c>
      <c r="K702" t="inlineStr">
        <is>
          <t>No</t>
        </is>
      </c>
      <c r="L702" t="inlineStr">
        <is>
          <t>0</t>
        </is>
      </c>
      <c r="N702" t="inlineStr">
        <is>
          <t>Chicago, Ill. : Center for Health Policy Research, c1998.</t>
        </is>
      </c>
      <c r="O702" t="inlineStr">
        <is>
          <t>1998</t>
        </is>
      </c>
      <c r="Q702" t="inlineStr">
        <is>
          <t>eng</t>
        </is>
      </c>
      <c r="R702" t="inlineStr">
        <is>
          <t>ilu</t>
        </is>
      </c>
      <c r="T702" t="inlineStr">
        <is>
          <t xml:space="preserve">W  </t>
        </is>
      </c>
      <c r="U702" t="n">
        <v>18</v>
      </c>
      <c r="V702" t="n">
        <v>18</v>
      </c>
      <c r="W702" t="inlineStr">
        <is>
          <t>2005-05-27</t>
        </is>
      </c>
      <c r="X702" t="inlineStr">
        <is>
          <t>2005-05-27</t>
        </is>
      </c>
      <c r="Y702" t="inlineStr">
        <is>
          <t>1998-11-12</t>
        </is>
      </c>
      <c r="Z702" t="inlineStr">
        <is>
          <t>1998-11-12</t>
        </is>
      </c>
      <c r="AA702" t="n">
        <v>11</v>
      </c>
      <c r="AB702" t="n">
        <v>11</v>
      </c>
      <c r="AC702" t="n">
        <v>18</v>
      </c>
      <c r="AD702" t="n">
        <v>1</v>
      </c>
      <c r="AE702" t="n">
        <v>1</v>
      </c>
      <c r="AF702" t="n">
        <v>0</v>
      </c>
      <c r="AG702" t="n">
        <v>0</v>
      </c>
      <c r="AH702" t="n">
        <v>0</v>
      </c>
      <c r="AI702" t="n">
        <v>0</v>
      </c>
      <c r="AJ702" t="n">
        <v>0</v>
      </c>
      <c r="AK702" t="n">
        <v>0</v>
      </c>
      <c r="AL702" t="n">
        <v>0</v>
      </c>
      <c r="AM702" t="n">
        <v>0</v>
      </c>
      <c r="AN702" t="n">
        <v>0</v>
      </c>
      <c r="AO702" t="n">
        <v>0</v>
      </c>
      <c r="AP702" t="n">
        <v>0</v>
      </c>
      <c r="AQ702" t="n">
        <v>0</v>
      </c>
      <c r="AR702" t="inlineStr">
        <is>
          <t>No</t>
        </is>
      </c>
      <c r="AS702" t="inlineStr">
        <is>
          <t>No</t>
        </is>
      </c>
      <c r="AU702">
        <f>HYPERLINK("https://creighton-primo.hosted.exlibrisgroup.com/primo-explore/search?tab=default_tab&amp;search_scope=EVERYTHING&amp;vid=01CRU&amp;lang=en_US&amp;offset=0&amp;query=any,contains,991001483209702656","Catalog Record")</f>
        <v/>
      </c>
      <c r="AV702">
        <f>HYPERLINK("http://www.worldcat.org/oclc/38508600","WorldCat Record")</f>
        <v/>
      </c>
      <c r="AW702" t="inlineStr">
        <is>
          <t>652768:eng</t>
        </is>
      </c>
      <c r="AX702" t="inlineStr">
        <is>
          <t>38508600</t>
        </is>
      </c>
      <c r="AY702" t="inlineStr">
        <is>
          <t>991001483209702656</t>
        </is>
      </c>
      <c r="AZ702" t="inlineStr">
        <is>
          <t>991001483209702656</t>
        </is>
      </c>
      <c r="BA702" t="inlineStr">
        <is>
          <t>2269208510002656</t>
        </is>
      </c>
      <c r="BB702" t="inlineStr">
        <is>
          <t>BOOK</t>
        </is>
      </c>
      <c r="BD702" t="inlineStr">
        <is>
          <t>9780899709116</t>
        </is>
      </c>
      <c r="BE702" t="inlineStr">
        <is>
          <t>30001003912039</t>
        </is>
      </c>
      <c r="BF702" t="inlineStr">
        <is>
          <t>893364178</t>
        </is>
      </c>
    </row>
    <row r="703">
      <c r="A703" t="inlineStr">
        <is>
          <t>No</t>
        </is>
      </c>
      <c r="B703" t="inlineStr">
        <is>
          <t>CUHSL</t>
        </is>
      </c>
      <c r="C703" t="inlineStr">
        <is>
          <t>SHELVES</t>
        </is>
      </c>
      <c r="D703" t="inlineStr">
        <is>
          <t>W 76 S518 1985</t>
        </is>
      </c>
      <c r="E703" t="inlineStr">
        <is>
          <t>0                      W  0076000S  518         1985</t>
        </is>
      </c>
      <c r="F703" t="inlineStr">
        <is>
          <t>Sex and status : hierarchies in the health workforce / Irene Butter ... [et al.].</t>
        </is>
      </c>
      <c r="H703" t="inlineStr">
        <is>
          <t>No</t>
        </is>
      </c>
      <c r="I703" t="inlineStr">
        <is>
          <t>1</t>
        </is>
      </c>
      <c r="J703" t="inlineStr">
        <is>
          <t>No</t>
        </is>
      </c>
      <c r="K703" t="inlineStr">
        <is>
          <t>No</t>
        </is>
      </c>
      <c r="L703" t="inlineStr">
        <is>
          <t>0</t>
        </is>
      </c>
      <c r="N703" t="inlineStr">
        <is>
          <t>Washington, D.C. : American Public Health Association, [1985].</t>
        </is>
      </c>
      <c r="O703" t="inlineStr">
        <is>
          <t>1985</t>
        </is>
      </c>
      <c r="Q703" t="inlineStr">
        <is>
          <t>eng</t>
        </is>
      </c>
      <c r="R703" t="inlineStr">
        <is>
          <t>xxu</t>
        </is>
      </c>
      <c r="S703" t="inlineStr">
        <is>
          <t>Public health policy series</t>
        </is>
      </c>
      <c r="T703" t="inlineStr">
        <is>
          <t xml:space="preserve">W  </t>
        </is>
      </c>
      <c r="U703" t="n">
        <v>5</v>
      </c>
      <c r="V703" t="n">
        <v>5</v>
      </c>
      <c r="W703" t="inlineStr">
        <is>
          <t>1993-11-12</t>
        </is>
      </c>
      <c r="X703" t="inlineStr">
        <is>
          <t>1993-11-12</t>
        </is>
      </c>
      <c r="Y703" t="inlineStr">
        <is>
          <t>1993-09-22</t>
        </is>
      </c>
      <c r="Z703" t="inlineStr">
        <is>
          <t>1993-09-22</t>
        </is>
      </c>
      <c r="AA703" t="n">
        <v>127</v>
      </c>
      <c r="AB703" t="n">
        <v>103</v>
      </c>
      <c r="AC703" t="n">
        <v>108</v>
      </c>
      <c r="AD703" t="n">
        <v>1</v>
      </c>
      <c r="AE703" t="n">
        <v>1</v>
      </c>
      <c r="AF703" t="n">
        <v>6</v>
      </c>
      <c r="AG703" t="n">
        <v>6</v>
      </c>
      <c r="AH703" t="n">
        <v>1</v>
      </c>
      <c r="AI703" t="n">
        <v>1</v>
      </c>
      <c r="AJ703" t="n">
        <v>3</v>
      </c>
      <c r="AK703" t="n">
        <v>3</v>
      </c>
      <c r="AL703" t="n">
        <v>3</v>
      </c>
      <c r="AM703" t="n">
        <v>3</v>
      </c>
      <c r="AN703" t="n">
        <v>0</v>
      </c>
      <c r="AO703" t="n">
        <v>0</v>
      </c>
      <c r="AP703" t="n">
        <v>1</v>
      </c>
      <c r="AQ703" t="n">
        <v>1</v>
      </c>
      <c r="AR703" t="inlineStr">
        <is>
          <t>No</t>
        </is>
      </c>
      <c r="AS703" t="inlineStr">
        <is>
          <t>Yes</t>
        </is>
      </c>
      <c r="AT703">
        <f>HYPERLINK("http://catalog.hathitrust.org/Record/004514869","HathiTrust Record")</f>
        <v/>
      </c>
      <c r="AU703">
        <f>HYPERLINK("https://creighton-primo.hosted.exlibrisgroup.com/primo-explore/search?tab=default_tab&amp;search_scope=EVERYTHING&amp;vid=01CRU&amp;lang=en_US&amp;offset=0&amp;query=any,contains,991001486579702656","Catalog Record")</f>
        <v/>
      </c>
      <c r="AV703">
        <f>HYPERLINK("http://www.worldcat.org/oclc/12582629","WorldCat Record")</f>
        <v/>
      </c>
      <c r="AW703" t="inlineStr">
        <is>
          <t>1017785379:eng</t>
        </is>
      </c>
      <c r="AX703" t="inlineStr">
        <is>
          <t>12582629</t>
        </is>
      </c>
      <c r="AY703" t="inlineStr">
        <is>
          <t>991001486579702656</t>
        </is>
      </c>
      <c r="AZ703" t="inlineStr">
        <is>
          <t>991001486579702656</t>
        </is>
      </c>
      <c r="BA703" t="inlineStr">
        <is>
          <t>2272221980002656</t>
        </is>
      </c>
      <c r="BB703" t="inlineStr">
        <is>
          <t>BOOK</t>
        </is>
      </c>
      <c r="BD703" t="inlineStr">
        <is>
          <t>9780875531342</t>
        </is>
      </c>
      <c r="BE703" t="inlineStr">
        <is>
          <t>30001002579243</t>
        </is>
      </c>
      <c r="BF703" t="inlineStr">
        <is>
          <t>893741188</t>
        </is>
      </c>
    </row>
    <row r="704">
      <c r="A704" t="inlineStr">
        <is>
          <t>No</t>
        </is>
      </c>
      <c r="B704" t="inlineStr">
        <is>
          <t>CUHSL</t>
        </is>
      </c>
      <c r="C704" t="inlineStr">
        <is>
          <t>SHELVES</t>
        </is>
      </c>
      <c r="D704" t="inlineStr">
        <is>
          <t>W 76 U58s 1990</t>
        </is>
      </c>
      <c r="E704" t="inlineStr">
        <is>
          <t>0                      W  0076000U  58s         1990</t>
        </is>
      </c>
      <c r="F704" t="inlineStr">
        <is>
          <t>Seventh report to the President and Congress on the status of health personnel in the United States.</t>
        </is>
      </c>
      <c r="H704" t="inlineStr">
        <is>
          <t>No</t>
        </is>
      </c>
      <c r="I704" t="inlineStr">
        <is>
          <t>1</t>
        </is>
      </c>
      <c r="J704" t="inlineStr">
        <is>
          <t>No</t>
        </is>
      </c>
      <c r="K704" t="inlineStr">
        <is>
          <t>No</t>
        </is>
      </c>
      <c r="L704" t="inlineStr">
        <is>
          <t>0</t>
        </is>
      </c>
      <c r="M704" t="inlineStr">
        <is>
          <t>United States. Health Resources and Services Administration. Bureau of Health Professions.</t>
        </is>
      </c>
      <c r="N704" t="inlineStr">
        <is>
          <t>[Rockville, Md.] : U.S. Dept. of Health &amp; Human Services, Public Health Service, Health Resources and Services Administration, Bureau of Health Professions ; Springfield, VA : Available through NTIS, [1990]</t>
        </is>
      </c>
      <c r="O704" t="inlineStr">
        <is>
          <t>1990</t>
        </is>
      </c>
      <c r="Q704" t="inlineStr">
        <is>
          <t>eng</t>
        </is>
      </c>
      <c r="R704" t="inlineStr">
        <is>
          <t>mdu</t>
        </is>
      </c>
      <c r="S704" t="inlineStr">
        <is>
          <t>DHHS publication ; no. HRS-P-OD-90-1</t>
        </is>
      </c>
      <c r="T704" t="inlineStr">
        <is>
          <t xml:space="preserve">W  </t>
        </is>
      </c>
      <c r="U704" t="n">
        <v>10</v>
      </c>
      <c r="V704" t="n">
        <v>10</v>
      </c>
      <c r="W704" t="inlineStr">
        <is>
          <t>1996-09-09</t>
        </is>
      </c>
      <c r="X704" t="inlineStr">
        <is>
          <t>1996-09-09</t>
        </is>
      </c>
      <c r="Y704" t="inlineStr">
        <is>
          <t>1990-10-10</t>
        </is>
      </c>
      <c r="Z704" t="inlineStr">
        <is>
          <t>1990-10-10</t>
        </is>
      </c>
      <c r="AA704" t="n">
        <v>48</v>
      </c>
      <c r="AB704" t="n">
        <v>47</v>
      </c>
      <c r="AC704" t="n">
        <v>55</v>
      </c>
      <c r="AD704" t="n">
        <v>1</v>
      </c>
      <c r="AE704" t="n">
        <v>1</v>
      </c>
      <c r="AF704" t="n">
        <v>1</v>
      </c>
      <c r="AG704" t="n">
        <v>1</v>
      </c>
      <c r="AH704" t="n">
        <v>0</v>
      </c>
      <c r="AI704" t="n">
        <v>0</v>
      </c>
      <c r="AJ704" t="n">
        <v>1</v>
      </c>
      <c r="AK704" t="n">
        <v>1</v>
      </c>
      <c r="AL704" t="n">
        <v>1</v>
      </c>
      <c r="AM704" t="n">
        <v>1</v>
      </c>
      <c r="AN704" t="n">
        <v>0</v>
      </c>
      <c r="AO704" t="n">
        <v>0</v>
      </c>
      <c r="AP704" t="n">
        <v>0</v>
      </c>
      <c r="AQ704" t="n">
        <v>0</v>
      </c>
      <c r="AR704" t="inlineStr">
        <is>
          <t>Yes</t>
        </is>
      </c>
      <c r="AS704" t="inlineStr">
        <is>
          <t>No</t>
        </is>
      </c>
      <c r="AT704">
        <f>HYPERLINK("http://catalog.hathitrust.org/Record/011327300","HathiTrust Record")</f>
        <v/>
      </c>
      <c r="AU704">
        <f>HYPERLINK("https://creighton-primo.hosted.exlibrisgroup.com/primo-explore/search?tab=default_tab&amp;search_scope=EVERYTHING&amp;vid=01CRU&amp;lang=en_US&amp;offset=0&amp;query=any,contains,991000769079702656","Catalog Record")</f>
        <v/>
      </c>
      <c r="AV704">
        <f>HYPERLINK("http://www.worldcat.org/oclc/21946566","WorldCat Record")</f>
        <v/>
      </c>
      <c r="AW704" t="inlineStr">
        <is>
          <t>23898069:eng</t>
        </is>
      </c>
      <c r="AX704" t="inlineStr">
        <is>
          <t>21946566</t>
        </is>
      </c>
      <c r="AY704" t="inlineStr">
        <is>
          <t>991000769079702656</t>
        </is>
      </c>
      <c r="AZ704" t="inlineStr">
        <is>
          <t>991000769079702656</t>
        </is>
      </c>
      <c r="BA704" t="inlineStr">
        <is>
          <t>2259612750002656</t>
        </is>
      </c>
      <c r="BB704" t="inlineStr">
        <is>
          <t>BOOK</t>
        </is>
      </c>
      <c r="BE704" t="inlineStr">
        <is>
          <t>30001002061689</t>
        </is>
      </c>
      <c r="BF704" t="inlineStr">
        <is>
          <t>893167697</t>
        </is>
      </c>
    </row>
    <row r="705">
      <c r="A705" t="inlineStr">
        <is>
          <t>No</t>
        </is>
      </c>
      <c r="B705" t="inlineStr">
        <is>
          <t>CUHSL</t>
        </is>
      </c>
      <c r="C705" t="inlineStr">
        <is>
          <t>SHELVES</t>
        </is>
      </c>
      <c r="D705" t="inlineStr">
        <is>
          <t>W 79 P578 1999</t>
        </is>
      </c>
      <c r="E705" t="inlineStr">
        <is>
          <t>0                      W  0079000P  578         1999</t>
        </is>
      </c>
      <c r="F705" t="inlineStr">
        <is>
          <t>Physician Compensation Systems / Kay Stanley, Project Manager/Editor.</t>
        </is>
      </c>
      <c r="H705" t="inlineStr">
        <is>
          <t>No</t>
        </is>
      </c>
      <c r="I705" t="inlineStr">
        <is>
          <t>1</t>
        </is>
      </c>
      <c r="J705" t="inlineStr">
        <is>
          <t>No</t>
        </is>
      </c>
      <c r="K705" t="inlineStr">
        <is>
          <t>No</t>
        </is>
      </c>
      <c r="L705" t="inlineStr">
        <is>
          <t>0</t>
        </is>
      </c>
      <c r="N705" t="inlineStr">
        <is>
          <t>Norcross, GA : Coker Pub., LLC, 1999.</t>
        </is>
      </c>
      <c r="O705" t="inlineStr">
        <is>
          <t>1999</t>
        </is>
      </c>
      <c r="Q705" t="inlineStr">
        <is>
          <t>eng</t>
        </is>
      </c>
      <c r="R705" t="inlineStr">
        <is>
          <t>gau</t>
        </is>
      </c>
      <c r="T705" t="inlineStr">
        <is>
          <t xml:space="preserve">W  </t>
        </is>
      </c>
      <c r="U705" t="n">
        <v>1</v>
      </c>
      <c r="V705" t="n">
        <v>1</v>
      </c>
      <c r="W705" t="inlineStr">
        <is>
          <t>2005-09-09</t>
        </is>
      </c>
      <c r="X705" t="inlineStr">
        <is>
          <t>2005-09-09</t>
        </is>
      </c>
      <c r="Y705" t="inlineStr">
        <is>
          <t>2004-08-31</t>
        </is>
      </c>
      <c r="Z705" t="inlineStr">
        <is>
          <t>2004-08-31</t>
        </is>
      </c>
      <c r="AA705" t="n">
        <v>40</v>
      </c>
      <c r="AB705" t="n">
        <v>40</v>
      </c>
      <c r="AC705" t="n">
        <v>42</v>
      </c>
      <c r="AD705" t="n">
        <v>1</v>
      </c>
      <c r="AE705" t="n">
        <v>1</v>
      </c>
      <c r="AF705" t="n">
        <v>1</v>
      </c>
      <c r="AG705" t="n">
        <v>1</v>
      </c>
      <c r="AH705" t="n">
        <v>1</v>
      </c>
      <c r="AI705" t="n">
        <v>1</v>
      </c>
      <c r="AJ705" t="n">
        <v>0</v>
      </c>
      <c r="AK705" t="n">
        <v>0</v>
      </c>
      <c r="AL705" t="n">
        <v>1</v>
      </c>
      <c r="AM705" t="n">
        <v>1</v>
      </c>
      <c r="AN705" t="n">
        <v>0</v>
      </c>
      <c r="AO705" t="n">
        <v>0</v>
      </c>
      <c r="AP705" t="n">
        <v>0</v>
      </c>
      <c r="AQ705" t="n">
        <v>0</v>
      </c>
      <c r="AR705" t="inlineStr">
        <is>
          <t>No</t>
        </is>
      </c>
      <c r="AS705" t="inlineStr">
        <is>
          <t>Yes</t>
        </is>
      </c>
      <c r="AT705">
        <f>HYPERLINK("http://catalog.hathitrust.org/Record/004001464","HathiTrust Record")</f>
        <v/>
      </c>
      <c r="AU705">
        <f>HYPERLINK("https://creighton-primo.hosted.exlibrisgroup.com/primo-explore/search?tab=default_tab&amp;search_scope=EVERYTHING&amp;vid=01CRU&amp;lang=en_US&amp;offset=0&amp;query=any,contains,991000381679702656","Catalog Record")</f>
        <v/>
      </c>
      <c r="AV705">
        <f>HYPERLINK("http://www.worldcat.org/oclc/40101687","WorldCat Record")</f>
        <v/>
      </c>
      <c r="AW705" t="inlineStr">
        <is>
          <t>23408159:eng</t>
        </is>
      </c>
      <c r="AX705" t="inlineStr">
        <is>
          <t>40101687</t>
        </is>
      </c>
      <c r="AY705" t="inlineStr">
        <is>
          <t>991000381679702656</t>
        </is>
      </c>
      <c r="AZ705" t="inlineStr">
        <is>
          <t>991000381679702656</t>
        </is>
      </c>
      <c r="BA705" t="inlineStr">
        <is>
          <t>2255453430002656</t>
        </is>
      </c>
      <c r="BB705" t="inlineStr">
        <is>
          <t>BOOK</t>
        </is>
      </c>
      <c r="BD705" t="inlineStr">
        <is>
          <t>9780899709109</t>
        </is>
      </c>
      <c r="BE705" t="inlineStr">
        <is>
          <t>30001004841179</t>
        </is>
      </c>
      <c r="BF705" t="inlineStr">
        <is>
          <t>893269420</t>
        </is>
      </c>
    </row>
    <row r="706">
      <c r="A706" t="inlineStr">
        <is>
          <t>No</t>
        </is>
      </c>
      <c r="B706" t="inlineStr">
        <is>
          <t>CUHSL</t>
        </is>
      </c>
      <c r="C706" t="inlineStr">
        <is>
          <t>SHELVES</t>
        </is>
      </c>
      <c r="D706" t="inlineStr">
        <is>
          <t>W79 Y45e 1998</t>
        </is>
      </c>
      <c r="E706" t="inlineStr">
        <is>
          <t>0                      W  0079000Y  45e         1998</t>
        </is>
      </c>
      <c r="F706" t="inlineStr">
        <is>
          <t>Evaluating and negotiating your compensation arrangements : understanding the process and ensuring your future /[author, Sharon L. Yenney].</t>
        </is>
      </c>
      <c r="H706" t="inlineStr">
        <is>
          <t>No</t>
        </is>
      </c>
      <c r="I706" t="inlineStr">
        <is>
          <t>1</t>
        </is>
      </c>
      <c r="J706" t="inlineStr">
        <is>
          <t>No</t>
        </is>
      </c>
      <c r="K706" t="inlineStr">
        <is>
          <t>No</t>
        </is>
      </c>
      <c r="L706" t="inlineStr">
        <is>
          <t>0</t>
        </is>
      </c>
      <c r="M706" t="inlineStr">
        <is>
          <t>Yenney, Sharon.</t>
        </is>
      </c>
      <c r="N706" t="inlineStr">
        <is>
          <t>Chicago, Ill. : American Medical Association, c1998.</t>
        </is>
      </c>
      <c r="O706" t="inlineStr">
        <is>
          <t>1998</t>
        </is>
      </c>
      <c r="Q706" t="inlineStr">
        <is>
          <t>eng</t>
        </is>
      </c>
      <c r="R706" t="inlineStr">
        <is>
          <t>ilu</t>
        </is>
      </c>
      <c r="T706" t="inlineStr">
        <is>
          <t xml:space="preserve">W  </t>
        </is>
      </c>
      <c r="U706" t="n">
        <v>1</v>
      </c>
      <c r="V706" t="n">
        <v>1</v>
      </c>
      <c r="W706" t="inlineStr">
        <is>
          <t>2005-09-09</t>
        </is>
      </c>
      <c r="X706" t="inlineStr">
        <is>
          <t>2005-09-09</t>
        </is>
      </c>
      <c r="Y706" t="inlineStr">
        <is>
          <t>2002-07-09</t>
        </is>
      </c>
      <c r="Z706" t="inlineStr">
        <is>
          <t>2002-07-09</t>
        </is>
      </c>
      <c r="AA706" t="n">
        <v>53</v>
      </c>
      <c r="AB706" t="n">
        <v>53</v>
      </c>
      <c r="AC706" t="n">
        <v>55</v>
      </c>
      <c r="AD706" t="n">
        <v>1</v>
      </c>
      <c r="AE706" t="n">
        <v>1</v>
      </c>
      <c r="AF706" t="n">
        <v>2</v>
      </c>
      <c r="AG706" t="n">
        <v>2</v>
      </c>
      <c r="AH706" t="n">
        <v>0</v>
      </c>
      <c r="AI706" t="n">
        <v>0</v>
      </c>
      <c r="AJ706" t="n">
        <v>2</v>
      </c>
      <c r="AK706" t="n">
        <v>2</v>
      </c>
      <c r="AL706" t="n">
        <v>0</v>
      </c>
      <c r="AM706" t="n">
        <v>0</v>
      </c>
      <c r="AN706" t="n">
        <v>0</v>
      </c>
      <c r="AO706" t="n">
        <v>0</v>
      </c>
      <c r="AP706" t="n">
        <v>0</v>
      </c>
      <c r="AQ706" t="n">
        <v>0</v>
      </c>
      <c r="AR706" t="inlineStr">
        <is>
          <t>No</t>
        </is>
      </c>
      <c r="AS706" t="inlineStr">
        <is>
          <t>Yes</t>
        </is>
      </c>
      <c r="AT706">
        <f>HYPERLINK("http://catalog.hathitrust.org/Record/003983056","HathiTrust Record")</f>
        <v/>
      </c>
      <c r="AU706">
        <f>HYPERLINK("https://creighton-primo.hosted.exlibrisgroup.com/primo-explore/search?tab=default_tab&amp;search_scope=EVERYTHING&amp;vid=01CRU&amp;lang=en_US&amp;offset=0&amp;query=any,contains,991000324319702656","Catalog Record")</f>
        <v/>
      </c>
      <c r="AV706">
        <f>HYPERLINK("http://www.worldcat.org/oclc/40120975","WorldCat Record")</f>
        <v/>
      </c>
      <c r="AW706" t="inlineStr">
        <is>
          <t>652756:eng</t>
        </is>
      </c>
      <c r="AX706" t="inlineStr">
        <is>
          <t>40120975</t>
        </is>
      </c>
      <c r="AY706" t="inlineStr">
        <is>
          <t>991000324319702656</t>
        </is>
      </c>
      <c r="AZ706" t="inlineStr">
        <is>
          <t>991000324319702656</t>
        </is>
      </c>
      <c r="BA706" t="inlineStr">
        <is>
          <t>2264496470002656</t>
        </is>
      </c>
      <c r="BB706" t="inlineStr">
        <is>
          <t>BOOK</t>
        </is>
      </c>
      <c r="BD706" t="inlineStr">
        <is>
          <t>9780899708942</t>
        </is>
      </c>
      <c r="BE706" t="inlineStr">
        <is>
          <t>30001004442705</t>
        </is>
      </c>
      <c r="BF706" t="inlineStr">
        <is>
          <t>893456559</t>
        </is>
      </c>
    </row>
    <row r="707">
      <c r="A707" t="inlineStr">
        <is>
          <t>No</t>
        </is>
      </c>
      <c r="B707" t="inlineStr">
        <is>
          <t>CUHSL</t>
        </is>
      </c>
      <c r="C707" t="inlineStr">
        <is>
          <t>SHELVES</t>
        </is>
      </c>
      <c r="D707" t="inlineStr">
        <is>
          <t>W 80 B347m 2000</t>
        </is>
      </c>
      <c r="E707" t="inlineStr">
        <is>
          <t>0                      W  0080000B  347m        2000</t>
        </is>
      </c>
      <c r="F707" t="inlineStr">
        <is>
          <t>Marketing your clinical practice : ethically, effectively, economically / Neil Baum, Gretchen Henkel.</t>
        </is>
      </c>
      <c r="H707" t="inlineStr">
        <is>
          <t>No</t>
        </is>
      </c>
      <c r="I707" t="inlineStr">
        <is>
          <t>1</t>
        </is>
      </c>
      <c r="J707" t="inlineStr">
        <is>
          <t>No</t>
        </is>
      </c>
      <c r="K707" t="inlineStr">
        <is>
          <t>No</t>
        </is>
      </c>
      <c r="L707" t="inlineStr">
        <is>
          <t>0</t>
        </is>
      </c>
      <c r="M707" t="inlineStr">
        <is>
          <t>Baum, Neil, 1943-</t>
        </is>
      </c>
      <c r="N707" t="inlineStr">
        <is>
          <t>Gaithersburg, Md. : Aspen Publishers, 2000.</t>
        </is>
      </c>
      <c r="O707" t="inlineStr">
        <is>
          <t>2000</t>
        </is>
      </c>
      <c r="P707" t="inlineStr">
        <is>
          <t>2nd ed.</t>
        </is>
      </c>
      <c r="Q707" t="inlineStr">
        <is>
          <t>eng</t>
        </is>
      </c>
      <c r="R707" t="inlineStr">
        <is>
          <t>mdu</t>
        </is>
      </c>
      <c r="T707" t="inlineStr">
        <is>
          <t xml:space="preserve">W  </t>
        </is>
      </c>
      <c r="U707" t="n">
        <v>1</v>
      </c>
      <c r="V707" t="n">
        <v>1</v>
      </c>
      <c r="W707" t="inlineStr">
        <is>
          <t>2005-01-14</t>
        </is>
      </c>
      <c r="X707" t="inlineStr">
        <is>
          <t>2005-01-14</t>
        </is>
      </c>
      <c r="Y707" t="inlineStr">
        <is>
          <t>2004-08-27</t>
        </is>
      </c>
      <c r="Z707" t="inlineStr">
        <is>
          <t>2004-08-27</t>
        </is>
      </c>
      <c r="AA707" t="n">
        <v>66</v>
      </c>
      <c r="AB707" t="n">
        <v>61</v>
      </c>
      <c r="AC707" t="n">
        <v>278</v>
      </c>
      <c r="AD707" t="n">
        <v>1</v>
      </c>
      <c r="AE707" t="n">
        <v>1</v>
      </c>
      <c r="AF707" t="n">
        <v>2</v>
      </c>
      <c r="AG707" t="n">
        <v>8</v>
      </c>
      <c r="AH707" t="n">
        <v>1</v>
      </c>
      <c r="AI707" t="n">
        <v>6</v>
      </c>
      <c r="AJ707" t="n">
        <v>0</v>
      </c>
      <c r="AK707" t="n">
        <v>1</v>
      </c>
      <c r="AL707" t="n">
        <v>1</v>
      </c>
      <c r="AM707" t="n">
        <v>5</v>
      </c>
      <c r="AN707" t="n">
        <v>0</v>
      </c>
      <c r="AO707" t="n">
        <v>0</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HYPERLINK("https://creighton-primo.hosted.exlibrisgroup.com/primo-explore/search?tab=default_tab&amp;search_scope=EVERYTHING&amp;vid=01CRU&amp;lang=en_US&amp;offset=0&amp;query=any,contains,991000379819702656","Catalog Record")</f>
        <v/>
      </c>
      <c r="AV707">
        <f>HYPERLINK("http://www.worldcat.org/oclc/42969546","WorldCat Record")</f>
        <v/>
      </c>
      <c r="AW707" t="inlineStr">
        <is>
          <t>758401:eng</t>
        </is>
      </c>
      <c r="AX707" t="inlineStr">
        <is>
          <t>42969546</t>
        </is>
      </c>
      <c r="AY707" t="inlineStr">
        <is>
          <t>991000379819702656</t>
        </is>
      </c>
      <c r="AZ707" t="inlineStr">
        <is>
          <t>991000379819702656</t>
        </is>
      </c>
      <c r="BA707" t="inlineStr">
        <is>
          <t>2266513300002656</t>
        </is>
      </c>
      <c r="BB707" t="inlineStr">
        <is>
          <t>BOOK</t>
        </is>
      </c>
      <c r="BD707" t="inlineStr">
        <is>
          <t>9780834217454</t>
        </is>
      </c>
      <c r="BE707" t="inlineStr">
        <is>
          <t>30001004219988</t>
        </is>
      </c>
      <c r="BF707" t="inlineStr">
        <is>
          <t>893633844</t>
        </is>
      </c>
    </row>
    <row r="708">
      <c r="A708" t="inlineStr">
        <is>
          <t>No</t>
        </is>
      </c>
      <c r="B708" t="inlineStr">
        <is>
          <t>CUHSL</t>
        </is>
      </c>
      <c r="C708" t="inlineStr">
        <is>
          <t>SHELVES</t>
        </is>
      </c>
      <c r="D708" t="inlineStr">
        <is>
          <t>W 80 B799t 1997</t>
        </is>
      </c>
      <c r="E708" t="inlineStr">
        <is>
          <t>0                      W  0080000B  799t        1997</t>
        </is>
      </c>
      <c r="F708" t="inlineStr">
        <is>
          <t>The total service medical practice : 17 steps to satisfying your internal and external customers / Vicky Bradford.</t>
        </is>
      </c>
      <c r="H708" t="inlineStr">
        <is>
          <t>No</t>
        </is>
      </c>
      <c r="I708" t="inlineStr">
        <is>
          <t>1</t>
        </is>
      </c>
      <c r="J708" t="inlineStr">
        <is>
          <t>No</t>
        </is>
      </c>
      <c r="K708" t="inlineStr">
        <is>
          <t>No</t>
        </is>
      </c>
      <c r="L708" t="inlineStr">
        <is>
          <t>0</t>
        </is>
      </c>
      <c r="M708" t="inlineStr">
        <is>
          <t>Bradford, Vicky.</t>
        </is>
      </c>
      <c r="N708" t="inlineStr">
        <is>
          <t>Chicago : Irwin Professional Pub., c1997.</t>
        </is>
      </c>
      <c r="O708" t="inlineStr">
        <is>
          <t>1997</t>
        </is>
      </c>
      <c r="Q708" t="inlineStr">
        <is>
          <t>eng</t>
        </is>
      </c>
      <c r="R708" t="inlineStr">
        <is>
          <t>ilu</t>
        </is>
      </c>
      <c r="T708" t="inlineStr">
        <is>
          <t xml:space="preserve">W  </t>
        </is>
      </c>
      <c r="U708" t="n">
        <v>3</v>
      </c>
      <c r="V708" t="n">
        <v>3</v>
      </c>
      <c r="W708" t="inlineStr">
        <is>
          <t>1998-04-28</t>
        </is>
      </c>
      <c r="X708" t="inlineStr">
        <is>
          <t>1998-04-28</t>
        </is>
      </c>
      <c r="Y708" t="inlineStr">
        <is>
          <t>1998-03-20</t>
        </is>
      </c>
      <c r="Z708" t="inlineStr">
        <is>
          <t>1998-03-20</t>
        </is>
      </c>
      <c r="AA708" t="n">
        <v>44</v>
      </c>
      <c r="AB708" t="n">
        <v>38</v>
      </c>
      <c r="AC708" t="n">
        <v>39</v>
      </c>
      <c r="AD708" t="n">
        <v>1</v>
      </c>
      <c r="AE708" t="n">
        <v>1</v>
      </c>
      <c r="AF708" t="n">
        <v>4</v>
      </c>
      <c r="AG708" t="n">
        <v>4</v>
      </c>
      <c r="AH708" t="n">
        <v>2</v>
      </c>
      <c r="AI708" t="n">
        <v>2</v>
      </c>
      <c r="AJ708" t="n">
        <v>0</v>
      </c>
      <c r="AK708" t="n">
        <v>0</v>
      </c>
      <c r="AL708" t="n">
        <v>4</v>
      </c>
      <c r="AM708" t="n">
        <v>4</v>
      </c>
      <c r="AN708" t="n">
        <v>0</v>
      </c>
      <c r="AO708" t="n">
        <v>0</v>
      </c>
      <c r="AP708" t="n">
        <v>0</v>
      </c>
      <c r="AQ708" t="n">
        <v>0</v>
      </c>
      <c r="AR708" t="inlineStr">
        <is>
          <t>No</t>
        </is>
      </c>
      <c r="AS708" t="inlineStr">
        <is>
          <t>No</t>
        </is>
      </c>
      <c r="AU708">
        <f>HYPERLINK("https://creighton-primo.hosted.exlibrisgroup.com/primo-explore/search?tab=default_tab&amp;search_scope=EVERYTHING&amp;vid=01CRU&amp;lang=en_US&amp;offset=0&amp;query=any,contains,991001294429702656","Catalog Record")</f>
        <v/>
      </c>
      <c r="AV708">
        <f>HYPERLINK("http://www.worldcat.org/oclc/35627589","WorldCat Record")</f>
        <v/>
      </c>
      <c r="AW708" t="inlineStr">
        <is>
          <t>35267276:eng</t>
        </is>
      </c>
      <c r="AX708" t="inlineStr">
        <is>
          <t>35627589</t>
        </is>
      </c>
      <c r="AY708" t="inlineStr">
        <is>
          <t>991001294429702656</t>
        </is>
      </c>
      <c r="AZ708" t="inlineStr">
        <is>
          <t>991001294429702656</t>
        </is>
      </c>
      <c r="BA708" t="inlineStr">
        <is>
          <t>2264667880002656</t>
        </is>
      </c>
      <c r="BB708" t="inlineStr">
        <is>
          <t>BOOK</t>
        </is>
      </c>
      <c r="BD708" t="inlineStr">
        <is>
          <t>9781557386458</t>
        </is>
      </c>
      <c r="BE708" t="inlineStr">
        <is>
          <t>30001003740372</t>
        </is>
      </c>
      <c r="BF708" t="inlineStr">
        <is>
          <t>893560962</t>
        </is>
      </c>
    </row>
    <row r="709">
      <c r="A709" t="inlineStr">
        <is>
          <t>No</t>
        </is>
      </c>
      <c r="B709" t="inlineStr">
        <is>
          <t>CUHSL</t>
        </is>
      </c>
      <c r="C709" t="inlineStr">
        <is>
          <t>SHELVES</t>
        </is>
      </c>
      <c r="D709" t="inlineStr">
        <is>
          <t>W80 B944p 2005</t>
        </is>
      </c>
      <c r="E709" t="inlineStr">
        <is>
          <t>0                      W  0080000B  944p        2005</t>
        </is>
      </c>
      <c r="F709" t="inlineStr">
        <is>
          <t>The primary care provider's guide to compensation and quality : how to get paid and not get sued / Carolyn Buppert.</t>
        </is>
      </c>
      <c r="H709" t="inlineStr">
        <is>
          <t>No</t>
        </is>
      </c>
      <c r="I709" t="inlineStr">
        <is>
          <t>1</t>
        </is>
      </c>
      <c r="J709" t="inlineStr">
        <is>
          <t>No</t>
        </is>
      </c>
      <c r="K709" t="inlineStr">
        <is>
          <t>No</t>
        </is>
      </c>
      <c r="L709" t="inlineStr">
        <is>
          <t>0</t>
        </is>
      </c>
      <c r="M709" t="inlineStr">
        <is>
          <t>Buppert, Carolyn.</t>
        </is>
      </c>
      <c r="N709" t="inlineStr">
        <is>
          <t>Sudbury, Mass. : Jones and Bartlett, c2005.</t>
        </is>
      </c>
      <c r="O709" t="inlineStr">
        <is>
          <t>2005</t>
        </is>
      </c>
      <c r="P709" t="inlineStr">
        <is>
          <t>2nd ed.</t>
        </is>
      </c>
      <c r="Q709" t="inlineStr">
        <is>
          <t>eng</t>
        </is>
      </c>
      <c r="R709" t="inlineStr">
        <is>
          <t>mau</t>
        </is>
      </c>
      <c r="T709" t="inlineStr">
        <is>
          <t xml:space="preserve">W  </t>
        </is>
      </c>
      <c r="U709" t="n">
        <v>2</v>
      </c>
      <c r="V709" t="n">
        <v>2</v>
      </c>
      <c r="W709" t="inlineStr">
        <is>
          <t>2006-02-06</t>
        </is>
      </c>
      <c r="X709" t="inlineStr">
        <is>
          <t>2006-02-06</t>
        </is>
      </c>
      <c r="Y709" t="inlineStr">
        <is>
          <t>2006-02-01</t>
        </is>
      </c>
      <c r="Z709" t="inlineStr">
        <is>
          <t>2006-02-01</t>
        </is>
      </c>
      <c r="AA709" t="n">
        <v>91</v>
      </c>
      <c r="AB709" t="n">
        <v>85</v>
      </c>
      <c r="AC709" t="n">
        <v>120</v>
      </c>
      <c r="AD709" t="n">
        <v>1</v>
      </c>
      <c r="AE709" t="n">
        <v>1</v>
      </c>
      <c r="AF709" t="n">
        <v>6</v>
      </c>
      <c r="AG709" t="n">
        <v>6</v>
      </c>
      <c r="AH709" t="n">
        <v>2</v>
      </c>
      <c r="AI709" t="n">
        <v>2</v>
      </c>
      <c r="AJ709" t="n">
        <v>1</v>
      </c>
      <c r="AK709" t="n">
        <v>1</v>
      </c>
      <c r="AL709" t="n">
        <v>5</v>
      </c>
      <c r="AM709" t="n">
        <v>5</v>
      </c>
      <c r="AN709" t="n">
        <v>0</v>
      </c>
      <c r="AO709" t="n">
        <v>0</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HYPERLINK("https://creighton-primo.hosted.exlibrisgroup.com/primo-explore/search?tab=default_tab&amp;search_scope=EVERYTHING&amp;vid=01CRU&amp;lang=en_US&amp;offset=0&amp;query=any,contains,991000461379702656","Catalog Record")</f>
        <v/>
      </c>
      <c r="AV709">
        <f>HYPERLINK("http://www.worldcat.org/oclc/57202215","WorldCat Record")</f>
        <v/>
      </c>
      <c r="AW709" t="inlineStr">
        <is>
          <t>758341:eng</t>
        </is>
      </c>
      <c r="AX709" t="inlineStr">
        <is>
          <t>57202215</t>
        </is>
      </c>
      <c r="AY709" t="inlineStr">
        <is>
          <t>991000461379702656</t>
        </is>
      </c>
      <c r="AZ709" t="inlineStr">
        <is>
          <t>991000461379702656</t>
        </is>
      </c>
      <c r="BA709" t="inlineStr">
        <is>
          <t>2267960290002656</t>
        </is>
      </c>
      <c r="BB709" t="inlineStr">
        <is>
          <t>BOOK</t>
        </is>
      </c>
      <c r="BD709" t="inlineStr">
        <is>
          <t>9780763729585</t>
        </is>
      </c>
      <c r="BE709" t="inlineStr">
        <is>
          <t>30001004915254</t>
        </is>
      </c>
      <c r="BF709" t="inlineStr">
        <is>
          <t>893629283</t>
        </is>
      </c>
    </row>
    <row r="710">
      <c r="A710" t="inlineStr">
        <is>
          <t>No</t>
        </is>
      </c>
      <c r="B710" t="inlineStr">
        <is>
          <t>CUHSL</t>
        </is>
      </c>
      <c r="C710" t="inlineStr">
        <is>
          <t>SHELVES</t>
        </is>
      </c>
      <c r="D710" t="inlineStr">
        <is>
          <t>W 80 B9787 2004</t>
        </is>
      </c>
      <c r="E710" t="inlineStr">
        <is>
          <t>0                      W  0080000B  9787        2004</t>
        </is>
      </c>
      <c r="F710" t="inlineStr">
        <is>
          <t>Business of medical practice : advanced profit maximization techniques for savvy doctors / David Edward Marcinko, editor.</t>
        </is>
      </c>
      <c r="H710" t="inlineStr">
        <is>
          <t>No</t>
        </is>
      </c>
      <c r="I710" t="inlineStr">
        <is>
          <t>1</t>
        </is>
      </c>
      <c r="J710" t="inlineStr">
        <is>
          <t>No</t>
        </is>
      </c>
      <c r="K710" t="inlineStr">
        <is>
          <t>No</t>
        </is>
      </c>
      <c r="L710" t="inlineStr">
        <is>
          <t>1</t>
        </is>
      </c>
      <c r="N710" t="inlineStr">
        <is>
          <t>New York, NY : Springer Pub., c2004.</t>
        </is>
      </c>
      <c r="O710" t="inlineStr">
        <is>
          <t>2004</t>
        </is>
      </c>
      <c r="P710" t="inlineStr">
        <is>
          <t>2nd ed.</t>
        </is>
      </c>
      <c r="Q710" t="inlineStr">
        <is>
          <t>eng</t>
        </is>
      </c>
      <c r="R710" t="inlineStr">
        <is>
          <t>nyu</t>
        </is>
      </c>
      <c r="T710" t="inlineStr">
        <is>
          <t xml:space="preserve">W  </t>
        </is>
      </c>
      <c r="U710" t="n">
        <v>3</v>
      </c>
      <c r="V710" t="n">
        <v>3</v>
      </c>
      <c r="W710" t="inlineStr">
        <is>
          <t>2008-05-03</t>
        </is>
      </c>
      <c r="X710" t="inlineStr">
        <is>
          <t>2008-05-03</t>
        </is>
      </c>
      <c r="Y710" t="inlineStr">
        <is>
          <t>2004-09-22</t>
        </is>
      </c>
      <c r="Z710" t="inlineStr">
        <is>
          <t>2004-09-22</t>
        </is>
      </c>
      <c r="AA710" t="n">
        <v>61</v>
      </c>
      <c r="AB710" t="n">
        <v>53</v>
      </c>
      <c r="AC710" t="n">
        <v>1031</v>
      </c>
      <c r="AD710" t="n">
        <v>1</v>
      </c>
      <c r="AE710" t="n">
        <v>14</v>
      </c>
      <c r="AF710" t="n">
        <v>0</v>
      </c>
      <c r="AG710" t="n">
        <v>39</v>
      </c>
      <c r="AH710" t="n">
        <v>0</v>
      </c>
      <c r="AI710" t="n">
        <v>11</v>
      </c>
      <c r="AJ710" t="n">
        <v>0</v>
      </c>
      <c r="AK710" t="n">
        <v>9</v>
      </c>
      <c r="AL710" t="n">
        <v>0</v>
      </c>
      <c r="AM710" t="n">
        <v>11</v>
      </c>
      <c r="AN710" t="n">
        <v>0</v>
      </c>
      <c r="AO710" t="n">
        <v>12</v>
      </c>
      <c r="AP710" t="n">
        <v>0</v>
      </c>
      <c r="AQ710" t="n">
        <v>2</v>
      </c>
      <c r="AR710" t="inlineStr">
        <is>
          <t>No</t>
        </is>
      </c>
      <c r="AS710" t="inlineStr">
        <is>
          <t>No</t>
        </is>
      </c>
      <c r="AU710">
        <f>HYPERLINK("https://creighton-primo.hosted.exlibrisgroup.com/primo-explore/search?tab=default_tab&amp;search_scope=EVERYTHING&amp;vid=01CRU&amp;lang=en_US&amp;offset=0&amp;query=any,contains,991000394179702656","Catalog Record")</f>
        <v/>
      </c>
      <c r="AV710">
        <f>HYPERLINK("http://www.worldcat.org/oclc/54989193","WorldCat Record")</f>
        <v/>
      </c>
      <c r="AW710" t="inlineStr">
        <is>
          <t>1076460335:eng</t>
        </is>
      </c>
      <c r="AX710" t="inlineStr">
        <is>
          <t>54989193</t>
        </is>
      </c>
      <c r="AY710" t="inlineStr">
        <is>
          <t>991000394179702656</t>
        </is>
      </c>
      <c r="AZ710" t="inlineStr">
        <is>
          <t>991000394179702656</t>
        </is>
      </c>
      <c r="BA710" t="inlineStr">
        <is>
          <t>2264335440002656</t>
        </is>
      </c>
      <c r="BB710" t="inlineStr">
        <is>
          <t>BOOK</t>
        </is>
      </c>
      <c r="BD710" t="inlineStr">
        <is>
          <t>9780826123756</t>
        </is>
      </c>
      <c r="BE710" t="inlineStr">
        <is>
          <t>30001004978518</t>
        </is>
      </c>
      <c r="BF710" t="inlineStr">
        <is>
          <t>893832791</t>
        </is>
      </c>
    </row>
    <row r="711">
      <c r="A711" t="inlineStr">
        <is>
          <t>No</t>
        </is>
      </c>
      <c r="B711" t="inlineStr">
        <is>
          <t>CUHSL</t>
        </is>
      </c>
      <c r="C711" t="inlineStr">
        <is>
          <t>SHELVES</t>
        </is>
      </c>
      <c r="D711" t="inlineStr">
        <is>
          <t>W 80 C486 1999</t>
        </is>
      </c>
      <c r="E711" t="inlineStr">
        <is>
          <t>0                      W  0080000C  486         1999</t>
        </is>
      </c>
      <c r="F711" t="inlineStr">
        <is>
          <t>Chart of accounts for health care organizations / [edited by Neill F. Piland and Kathryn P. Glass].</t>
        </is>
      </c>
      <c r="H711" t="inlineStr">
        <is>
          <t>No</t>
        </is>
      </c>
      <c r="I711" t="inlineStr">
        <is>
          <t>1</t>
        </is>
      </c>
      <c r="J711" t="inlineStr">
        <is>
          <t>No</t>
        </is>
      </c>
      <c r="K711" t="inlineStr">
        <is>
          <t>No</t>
        </is>
      </c>
      <c r="L711" t="inlineStr">
        <is>
          <t>0</t>
        </is>
      </c>
      <c r="N711" t="inlineStr">
        <is>
          <t>Englewood, CO : Center for Research in Ambulatory Health Care Administration, c1999.</t>
        </is>
      </c>
      <c r="O711" t="inlineStr">
        <is>
          <t>1999</t>
        </is>
      </c>
      <c r="Q711" t="inlineStr">
        <is>
          <t>eng</t>
        </is>
      </c>
      <c r="R711" t="inlineStr">
        <is>
          <t>cou</t>
        </is>
      </c>
      <c r="T711" t="inlineStr">
        <is>
          <t xml:space="preserve">W  </t>
        </is>
      </c>
      <c r="U711" t="n">
        <v>0</v>
      </c>
      <c r="V711" t="n">
        <v>0</v>
      </c>
      <c r="W711" t="inlineStr">
        <is>
          <t>2003-10-17</t>
        </is>
      </c>
      <c r="X711" t="inlineStr">
        <is>
          <t>2003-10-17</t>
        </is>
      </c>
      <c r="Y711" t="inlineStr">
        <is>
          <t>2003-10-17</t>
        </is>
      </c>
      <c r="Z711" t="inlineStr">
        <is>
          <t>2003-10-17</t>
        </is>
      </c>
      <c r="AA711" t="n">
        <v>8</v>
      </c>
      <c r="AB711" t="n">
        <v>8</v>
      </c>
      <c r="AC711" t="n">
        <v>8</v>
      </c>
      <c r="AD711" t="n">
        <v>0</v>
      </c>
      <c r="AE711" t="n">
        <v>0</v>
      </c>
      <c r="AF711" t="n">
        <v>0</v>
      </c>
      <c r="AG711" t="n">
        <v>0</v>
      </c>
      <c r="AH711" t="n">
        <v>0</v>
      </c>
      <c r="AI711" t="n">
        <v>0</v>
      </c>
      <c r="AJ711" t="n">
        <v>0</v>
      </c>
      <c r="AK711" t="n">
        <v>0</v>
      </c>
      <c r="AL711" t="n">
        <v>0</v>
      </c>
      <c r="AM711" t="n">
        <v>0</v>
      </c>
      <c r="AN711" t="n">
        <v>0</v>
      </c>
      <c r="AO711" t="n">
        <v>0</v>
      </c>
      <c r="AP711" t="n">
        <v>0</v>
      </c>
      <c r="AQ711" t="n">
        <v>0</v>
      </c>
      <c r="AR711" t="inlineStr">
        <is>
          <t>No</t>
        </is>
      </c>
      <c r="AS711" t="inlineStr">
        <is>
          <t>No</t>
        </is>
      </c>
      <c r="AU711">
        <f>HYPERLINK("https://creighton-primo.hosted.exlibrisgroup.com/primo-explore/search?tab=default_tab&amp;search_scope=EVERYTHING&amp;vid=01CRU&amp;lang=en_US&amp;offset=0&amp;query=any,contains,991000358339702656","Catalog Record")</f>
        <v/>
      </c>
      <c r="AV711">
        <f>HYPERLINK("http://www.worldcat.org/oclc/43185290","WorldCat Record")</f>
        <v/>
      </c>
      <c r="AW711" t="inlineStr">
        <is>
          <t>1086284:eng</t>
        </is>
      </c>
      <c r="AX711" t="inlineStr">
        <is>
          <t>43185290</t>
        </is>
      </c>
      <c r="AY711" t="inlineStr">
        <is>
          <t>991000358339702656</t>
        </is>
      </c>
      <c r="AZ711" t="inlineStr">
        <is>
          <t>991000358339702656</t>
        </is>
      </c>
      <c r="BA711" t="inlineStr">
        <is>
          <t>2271069050002656</t>
        </is>
      </c>
      <c r="BB711" t="inlineStr">
        <is>
          <t>BOOK</t>
        </is>
      </c>
      <c r="BD711" t="inlineStr">
        <is>
          <t>9781568290232</t>
        </is>
      </c>
      <c r="BE711" t="inlineStr">
        <is>
          <t>30001004217917</t>
        </is>
      </c>
      <c r="BF711" t="inlineStr">
        <is>
          <t>893537108</t>
        </is>
      </c>
    </row>
    <row r="712">
      <c r="A712" t="inlineStr">
        <is>
          <t>No</t>
        </is>
      </c>
      <c r="B712" t="inlineStr">
        <is>
          <t>CUHSL</t>
        </is>
      </c>
      <c r="C712" t="inlineStr">
        <is>
          <t>SHELVES</t>
        </is>
      </c>
      <c r="D712" t="inlineStr">
        <is>
          <t>W 80 E36d 1986</t>
        </is>
      </c>
      <c r="E712" t="inlineStr">
        <is>
          <t>0                      W  0080000E  36d         1986</t>
        </is>
      </c>
      <c r="F712" t="inlineStr">
        <is>
          <t>Doctors' decisions and the cost of medical care : the reasons for doctors' practice patterns and ways to change them / John M. Eisenberg.</t>
        </is>
      </c>
      <c r="H712" t="inlineStr">
        <is>
          <t>No</t>
        </is>
      </c>
      <c r="I712" t="inlineStr">
        <is>
          <t>1</t>
        </is>
      </c>
      <c r="J712" t="inlineStr">
        <is>
          <t>No</t>
        </is>
      </c>
      <c r="K712" t="inlineStr">
        <is>
          <t>No</t>
        </is>
      </c>
      <c r="L712" t="inlineStr">
        <is>
          <t>0</t>
        </is>
      </c>
      <c r="M712" t="inlineStr">
        <is>
          <t>Eisenberg, John M. (John Meyer), 1946-2002.</t>
        </is>
      </c>
      <c r="N712" t="inlineStr">
        <is>
          <t>Ann Arbor, Mich. : Health Administration Press Perspectives, c1986.</t>
        </is>
      </c>
      <c r="O712" t="inlineStr">
        <is>
          <t>1986</t>
        </is>
      </c>
      <c r="Q712" t="inlineStr">
        <is>
          <t>eng</t>
        </is>
      </c>
      <c r="R712" t="inlineStr">
        <is>
          <t>xxu</t>
        </is>
      </c>
      <c r="T712" t="inlineStr">
        <is>
          <t xml:space="preserve">W  </t>
        </is>
      </c>
      <c r="U712" t="n">
        <v>7</v>
      </c>
      <c r="V712" t="n">
        <v>7</v>
      </c>
      <c r="W712" t="inlineStr">
        <is>
          <t>1995-04-14</t>
        </is>
      </c>
      <c r="X712" t="inlineStr">
        <is>
          <t>1995-04-14</t>
        </is>
      </c>
      <c r="Y712" t="inlineStr">
        <is>
          <t>1989-04-24</t>
        </is>
      </c>
      <c r="Z712" t="inlineStr">
        <is>
          <t>1989-04-24</t>
        </is>
      </c>
      <c r="AA712" t="n">
        <v>286</v>
      </c>
      <c r="AB712" t="n">
        <v>259</v>
      </c>
      <c r="AC712" t="n">
        <v>266</v>
      </c>
      <c r="AD712" t="n">
        <v>1</v>
      </c>
      <c r="AE712" t="n">
        <v>1</v>
      </c>
      <c r="AF712" t="n">
        <v>9</v>
      </c>
      <c r="AG712" t="n">
        <v>9</v>
      </c>
      <c r="AH712" t="n">
        <v>3</v>
      </c>
      <c r="AI712" t="n">
        <v>3</v>
      </c>
      <c r="AJ712" t="n">
        <v>2</v>
      </c>
      <c r="AK712" t="n">
        <v>2</v>
      </c>
      <c r="AL712" t="n">
        <v>4</v>
      </c>
      <c r="AM712" t="n">
        <v>4</v>
      </c>
      <c r="AN712" t="n">
        <v>0</v>
      </c>
      <c r="AO712" t="n">
        <v>0</v>
      </c>
      <c r="AP712" t="n">
        <v>2</v>
      </c>
      <c r="AQ712" t="n">
        <v>2</v>
      </c>
      <c r="AR712" t="inlineStr">
        <is>
          <t>No</t>
        </is>
      </c>
      <c r="AS712" t="inlineStr">
        <is>
          <t>Yes</t>
        </is>
      </c>
      <c r="AT712">
        <f>HYPERLINK("http://catalog.hathitrust.org/Record/000436973","HathiTrust Record")</f>
        <v/>
      </c>
      <c r="AU712">
        <f>HYPERLINK("https://creighton-primo.hosted.exlibrisgroup.com/primo-explore/search?tab=default_tab&amp;search_scope=EVERYTHING&amp;vid=01CRU&amp;lang=en_US&amp;offset=0&amp;query=any,contains,991001244559702656","Catalog Record")</f>
        <v/>
      </c>
      <c r="AV712">
        <f>HYPERLINK("http://www.worldcat.org/oclc/13762209","WorldCat Record")</f>
        <v/>
      </c>
      <c r="AW712" t="inlineStr">
        <is>
          <t>1070461718:eng</t>
        </is>
      </c>
      <c r="AX712" t="inlineStr">
        <is>
          <t>13762209</t>
        </is>
      </c>
      <c r="AY712" t="inlineStr">
        <is>
          <t>991001244559702656</t>
        </is>
      </c>
      <c r="AZ712" t="inlineStr">
        <is>
          <t>991001244559702656</t>
        </is>
      </c>
      <c r="BA712" t="inlineStr">
        <is>
          <t>2267058240002656</t>
        </is>
      </c>
      <c r="BB712" t="inlineStr">
        <is>
          <t>BOOK</t>
        </is>
      </c>
      <c r="BD712" t="inlineStr">
        <is>
          <t>9780910701143</t>
        </is>
      </c>
      <c r="BE712" t="inlineStr">
        <is>
          <t>30001001676669</t>
        </is>
      </c>
      <c r="BF712" t="inlineStr">
        <is>
          <t>893643363</t>
        </is>
      </c>
    </row>
    <row r="713">
      <c r="A713" t="inlineStr">
        <is>
          <t>No</t>
        </is>
      </c>
      <c r="B713" t="inlineStr">
        <is>
          <t>CUHSL</t>
        </is>
      </c>
      <c r="C713" t="inlineStr">
        <is>
          <t>SHELVES</t>
        </is>
      </c>
      <c r="D713" t="inlineStr">
        <is>
          <t>W 80 F852o 1981</t>
        </is>
      </c>
      <c r="E713" t="inlineStr">
        <is>
          <t>0                      W  0080000F  852o        1981</t>
        </is>
      </c>
      <c r="F713" t="inlineStr">
        <is>
          <t>The medical office assistant : administrative and clinical / Portia M. Frederick, Mary E. Kinn.</t>
        </is>
      </c>
      <c r="H713" t="inlineStr">
        <is>
          <t>No</t>
        </is>
      </c>
      <c r="I713" t="inlineStr">
        <is>
          <t>1</t>
        </is>
      </c>
      <c r="J713" t="inlineStr">
        <is>
          <t>No</t>
        </is>
      </c>
      <c r="K713" t="inlineStr">
        <is>
          <t>No</t>
        </is>
      </c>
      <c r="L713" t="inlineStr">
        <is>
          <t>0</t>
        </is>
      </c>
      <c r="M713" t="inlineStr">
        <is>
          <t>Frederick, Portia M.</t>
        </is>
      </c>
      <c r="N713" t="inlineStr">
        <is>
          <t>Philadelphia : Saunders, c1981.</t>
        </is>
      </c>
      <c r="O713" t="inlineStr">
        <is>
          <t>1981</t>
        </is>
      </c>
      <c r="P713" t="inlineStr">
        <is>
          <t>5th ed.</t>
        </is>
      </c>
      <c r="Q713" t="inlineStr">
        <is>
          <t>eng</t>
        </is>
      </c>
      <c r="R713" t="inlineStr">
        <is>
          <t>xxu</t>
        </is>
      </c>
      <c r="T713" t="inlineStr">
        <is>
          <t xml:space="preserve">W  </t>
        </is>
      </c>
      <c r="U713" t="n">
        <v>1</v>
      </c>
      <c r="V713" t="n">
        <v>1</v>
      </c>
      <c r="W713" t="inlineStr">
        <is>
          <t>2005-01-14</t>
        </is>
      </c>
      <c r="X713" t="inlineStr">
        <is>
          <t>2005-01-14</t>
        </is>
      </c>
      <c r="Y713" t="inlineStr">
        <is>
          <t>1987-12-21</t>
        </is>
      </c>
      <c r="Z713" t="inlineStr">
        <is>
          <t>1987-12-21</t>
        </is>
      </c>
      <c r="AA713" t="n">
        <v>104</v>
      </c>
      <c r="AB713" t="n">
        <v>98</v>
      </c>
      <c r="AC713" t="n">
        <v>181</v>
      </c>
      <c r="AD713" t="n">
        <v>2</v>
      </c>
      <c r="AE713" t="n">
        <v>3</v>
      </c>
      <c r="AF713" t="n">
        <v>1</v>
      </c>
      <c r="AG713" t="n">
        <v>2</v>
      </c>
      <c r="AH713" t="n">
        <v>0</v>
      </c>
      <c r="AI713" t="n">
        <v>0</v>
      </c>
      <c r="AJ713" t="n">
        <v>0</v>
      </c>
      <c r="AK713" t="n">
        <v>0</v>
      </c>
      <c r="AL713" t="n">
        <v>0</v>
      </c>
      <c r="AM713" t="n">
        <v>1</v>
      </c>
      <c r="AN713" t="n">
        <v>1</v>
      </c>
      <c r="AO713" t="n">
        <v>1</v>
      </c>
      <c r="AP713" t="n">
        <v>0</v>
      </c>
      <c r="AQ713" t="n">
        <v>0</v>
      </c>
      <c r="AR713" t="inlineStr">
        <is>
          <t>No</t>
        </is>
      </c>
      <c r="AS713" t="inlineStr">
        <is>
          <t>No</t>
        </is>
      </c>
      <c r="AU713">
        <f>HYPERLINK("https://creighton-primo.hosted.exlibrisgroup.com/primo-explore/search?tab=default_tab&amp;search_scope=EVERYTHING&amp;vid=01CRU&amp;lang=en_US&amp;offset=0&amp;query=any,contains,991001544589702656","Catalog Record")</f>
        <v/>
      </c>
      <c r="AV713">
        <f>HYPERLINK("http://www.worldcat.org/oclc/7173843","WorldCat Record")</f>
        <v/>
      </c>
      <c r="AW713" t="inlineStr">
        <is>
          <t>5851190:eng</t>
        </is>
      </c>
      <c r="AX713" t="inlineStr">
        <is>
          <t>7173843</t>
        </is>
      </c>
      <c r="AY713" t="inlineStr">
        <is>
          <t>991001544589702656</t>
        </is>
      </c>
      <c r="AZ713" t="inlineStr">
        <is>
          <t>991001544589702656</t>
        </is>
      </c>
      <c r="BA713" t="inlineStr">
        <is>
          <t>2272043200002656</t>
        </is>
      </c>
      <c r="BB713" t="inlineStr">
        <is>
          <t>BOOK</t>
        </is>
      </c>
      <c r="BD713" t="inlineStr">
        <is>
          <t>9780721638638</t>
        </is>
      </c>
      <c r="BE713" t="inlineStr">
        <is>
          <t>30001000637043</t>
        </is>
      </c>
      <c r="BF713" t="inlineStr">
        <is>
          <t>893287472</t>
        </is>
      </c>
    </row>
    <row r="714">
      <c r="A714" t="inlineStr">
        <is>
          <t>No</t>
        </is>
      </c>
      <c r="B714" t="inlineStr">
        <is>
          <t>CUHSL</t>
        </is>
      </c>
      <c r="C714" t="inlineStr">
        <is>
          <t>SHELVES</t>
        </is>
      </c>
      <c r="D714" t="inlineStr">
        <is>
          <t>W 80 G174h 1984</t>
        </is>
      </c>
      <c r="E714" t="inlineStr">
        <is>
          <t>0                      W  0080000G  174h        1984</t>
        </is>
      </c>
      <c r="F714" t="inlineStr">
        <is>
          <t>Hospital unit secretary / Margaret A. Galloway.</t>
        </is>
      </c>
      <c r="H714" t="inlineStr">
        <is>
          <t>No</t>
        </is>
      </c>
      <c r="I714" t="inlineStr">
        <is>
          <t>1</t>
        </is>
      </c>
      <c r="J714" t="inlineStr">
        <is>
          <t>No</t>
        </is>
      </c>
      <c r="K714" t="inlineStr">
        <is>
          <t>No</t>
        </is>
      </c>
      <c r="L714" t="inlineStr">
        <is>
          <t>0</t>
        </is>
      </c>
      <c r="M714" t="inlineStr">
        <is>
          <t>Galloway, Margaret A., 1924-</t>
        </is>
      </c>
      <c r="N714" t="inlineStr">
        <is>
          <t>Bowie, MD : Brady, c1984.</t>
        </is>
      </c>
      <c r="O714" t="inlineStr">
        <is>
          <t>1984</t>
        </is>
      </c>
      <c r="Q714" t="inlineStr">
        <is>
          <t>eng</t>
        </is>
      </c>
      <c r="R714" t="inlineStr">
        <is>
          <t>xxu</t>
        </is>
      </c>
      <c r="T714" t="inlineStr">
        <is>
          <t xml:space="preserve">W  </t>
        </is>
      </c>
      <c r="U714" t="n">
        <v>3</v>
      </c>
      <c r="V714" t="n">
        <v>3</v>
      </c>
      <c r="W714" t="inlineStr">
        <is>
          <t>1995-08-23</t>
        </is>
      </c>
      <c r="X714" t="inlineStr">
        <is>
          <t>1995-08-23</t>
        </is>
      </c>
      <c r="Y714" t="inlineStr">
        <is>
          <t>1987-12-21</t>
        </is>
      </c>
      <c r="Z714" t="inlineStr">
        <is>
          <t>1987-12-21</t>
        </is>
      </c>
      <c r="AA714" t="n">
        <v>59</v>
      </c>
      <c r="AB714" t="n">
        <v>56</v>
      </c>
      <c r="AC714" t="n">
        <v>57</v>
      </c>
      <c r="AD714" t="n">
        <v>1</v>
      </c>
      <c r="AE714" t="n">
        <v>1</v>
      </c>
      <c r="AF714" t="n">
        <v>0</v>
      </c>
      <c r="AG714" t="n">
        <v>0</v>
      </c>
      <c r="AH714" t="n">
        <v>0</v>
      </c>
      <c r="AI714" t="n">
        <v>0</v>
      </c>
      <c r="AJ714" t="n">
        <v>0</v>
      </c>
      <c r="AK714" t="n">
        <v>0</v>
      </c>
      <c r="AL714" t="n">
        <v>0</v>
      </c>
      <c r="AM714" t="n">
        <v>0</v>
      </c>
      <c r="AN714" t="n">
        <v>0</v>
      </c>
      <c r="AO714" t="n">
        <v>0</v>
      </c>
      <c r="AP714" t="n">
        <v>0</v>
      </c>
      <c r="AQ714" t="n">
        <v>0</v>
      </c>
      <c r="AR714" t="inlineStr">
        <is>
          <t>No</t>
        </is>
      </c>
      <c r="AS714" t="inlineStr">
        <is>
          <t>No</t>
        </is>
      </c>
      <c r="AU714">
        <f>HYPERLINK("https://creighton-primo.hosted.exlibrisgroup.com/primo-explore/search?tab=default_tab&amp;search_scope=EVERYTHING&amp;vid=01CRU&amp;lang=en_US&amp;offset=0&amp;query=any,contains,991001544549702656","Catalog Record")</f>
        <v/>
      </c>
      <c r="AV714">
        <f>HYPERLINK("http://www.worldcat.org/oclc/10072264","WorldCat Record")</f>
        <v/>
      </c>
      <c r="AW714" t="inlineStr">
        <is>
          <t>3041987:eng</t>
        </is>
      </c>
      <c r="AX714" t="inlineStr">
        <is>
          <t>10072264</t>
        </is>
      </c>
      <c r="AY714" t="inlineStr">
        <is>
          <t>991001544549702656</t>
        </is>
      </c>
      <c r="AZ714" t="inlineStr">
        <is>
          <t>991001544549702656</t>
        </is>
      </c>
      <c r="BA714" t="inlineStr">
        <is>
          <t>2264988640002656</t>
        </is>
      </c>
      <c r="BB714" t="inlineStr">
        <is>
          <t>BOOK</t>
        </is>
      </c>
      <c r="BE714" t="inlineStr">
        <is>
          <t>30001000637050</t>
        </is>
      </c>
      <c r="BF714" t="inlineStr">
        <is>
          <t>893643685</t>
        </is>
      </c>
    </row>
    <row r="715">
      <c r="A715" t="inlineStr">
        <is>
          <t>No</t>
        </is>
      </c>
      <c r="B715" t="inlineStr">
        <is>
          <t>CUHSL</t>
        </is>
      </c>
      <c r="C715" t="inlineStr">
        <is>
          <t>SHELVES</t>
        </is>
      </c>
      <c r="D715" t="inlineStr">
        <is>
          <t>W 80 H470L 2000</t>
        </is>
      </c>
      <c r="E715" t="inlineStr">
        <is>
          <t>0                      W  0080000H  470L        2000</t>
        </is>
      </c>
      <c r="F715" t="inlineStr">
        <is>
          <t>Looking for the cashcow : action steps to improve cash flow in medical group practices / Thomas G. Hajny ; edited by Kerstin B. Lynam.</t>
        </is>
      </c>
      <c r="H715" t="inlineStr">
        <is>
          <t>No</t>
        </is>
      </c>
      <c r="I715" t="inlineStr">
        <is>
          <t>1</t>
        </is>
      </c>
      <c r="J715" t="inlineStr">
        <is>
          <t>No</t>
        </is>
      </c>
      <c r="K715" t="inlineStr">
        <is>
          <t>No</t>
        </is>
      </c>
      <c r="L715" t="inlineStr">
        <is>
          <t>0</t>
        </is>
      </c>
      <c r="M715" t="inlineStr">
        <is>
          <t>Hajny, Thomas G.</t>
        </is>
      </c>
      <c r="N715" t="inlineStr">
        <is>
          <t>Englewood, CO : MGMA Center for Research, c2000.</t>
        </is>
      </c>
      <c r="O715" t="inlineStr">
        <is>
          <t>2000</t>
        </is>
      </c>
      <c r="Q715" t="inlineStr">
        <is>
          <t>eng</t>
        </is>
      </c>
      <c r="R715" t="inlineStr">
        <is>
          <t>cou</t>
        </is>
      </c>
      <c r="T715" t="inlineStr">
        <is>
          <t xml:space="preserve">W  </t>
        </is>
      </c>
      <c r="U715" t="n">
        <v>0</v>
      </c>
      <c r="V715" t="n">
        <v>0</v>
      </c>
      <c r="W715" t="inlineStr">
        <is>
          <t>2003-10-28</t>
        </is>
      </c>
      <c r="X715" t="inlineStr">
        <is>
          <t>2003-10-28</t>
        </is>
      </c>
      <c r="Y715" t="inlineStr">
        <is>
          <t>2003-10-17</t>
        </is>
      </c>
      <c r="Z715" t="inlineStr">
        <is>
          <t>2003-10-17</t>
        </is>
      </c>
      <c r="AA715" t="n">
        <v>8</v>
      </c>
      <c r="AB715" t="n">
        <v>8</v>
      </c>
      <c r="AC715" t="n">
        <v>8</v>
      </c>
      <c r="AD715" t="n">
        <v>1</v>
      </c>
      <c r="AE715" t="n">
        <v>1</v>
      </c>
      <c r="AF715" t="n">
        <v>0</v>
      </c>
      <c r="AG715" t="n">
        <v>0</v>
      </c>
      <c r="AH715" t="n">
        <v>0</v>
      </c>
      <c r="AI715" t="n">
        <v>0</v>
      </c>
      <c r="AJ715" t="n">
        <v>0</v>
      </c>
      <c r="AK715" t="n">
        <v>0</v>
      </c>
      <c r="AL715" t="n">
        <v>0</v>
      </c>
      <c r="AM715" t="n">
        <v>0</v>
      </c>
      <c r="AN715" t="n">
        <v>0</v>
      </c>
      <c r="AO715" t="n">
        <v>0</v>
      </c>
      <c r="AP715" t="n">
        <v>0</v>
      </c>
      <c r="AQ715" t="n">
        <v>0</v>
      </c>
      <c r="AR715" t="inlineStr">
        <is>
          <t>No</t>
        </is>
      </c>
      <c r="AS715" t="inlineStr">
        <is>
          <t>No</t>
        </is>
      </c>
      <c r="AU715">
        <f>HYPERLINK("https://creighton-primo.hosted.exlibrisgroup.com/primo-explore/search?tab=default_tab&amp;search_scope=EVERYTHING&amp;vid=01CRU&amp;lang=en_US&amp;offset=0&amp;query=any,contains,991000359259702656","Catalog Record")</f>
        <v/>
      </c>
      <c r="AV715">
        <f>HYPERLINK("http://www.worldcat.org/oclc/45798879","WorldCat Record")</f>
        <v/>
      </c>
      <c r="AW715" t="inlineStr">
        <is>
          <t>1086283:eng</t>
        </is>
      </c>
      <c r="AX715" t="inlineStr">
        <is>
          <t>45798879</t>
        </is>
      </c>
      <c r="AY715" t="inlineStr">
        <is>
          <t>991000359259702656</t>
        </is>
      </c>
      <c r="AZ715" t="inlineStr">
        <is>
          <t>991000359259702656</t>
        </is>
      </c>
      <c r="BA715" t="inlineStr">
        <is>
          <t>2258626870002656</t>
        </is>
      </c>
      <c r="BB715" t="inlineStr">
        <is>
          <t>BOOK</t>
        </is>
      </c>
      <c r="BD715" t="inlineStr">
        <is>
          <t>9781568290225</t>
        </is>
      </c>
      <c r="BE715" t="inlineStr">
        <is>
          <t>30001004218030</t>
        </is>
      </c>
      <c r="BF715" t="inlineStr">
        <is>
          <t>893370410</t>
        </is>
      </c>
    </row>
    <row r="716">
      <c r="A716" t="inlineStr">
        <is>
          <t>No</t>
        </is>
      </c>
      <c r="B716" t="inlineStr">
        <is>
          <t>CUHSL</t>
        </is>
      </c>
      <c r="C716" t="inlineStr">
        <is>
          <t>SHELVES</t>
        </is>
      </c>
      <c r="D716" t="inlineStr">
        <is>
          <t>W 80 H473b 1997</t>
        </is>
      </c>
      <c r="E716" t="inlineStr">
        <is>
          <t>0                      W  0080000H  473b        1997</t>
        </is>
      </c>
      <c r="F716" t="inlineStr">
        <is>
          <t>Buying, selling &amp; merging a medical practice : proven valuation and negotiation strategies / Kenneth M. Hekman.</t>
        </is>
      </c>
      <c r="H716" t="inlineStr">
        <is>
          <t>No</t>
        </is>
      </c>
      <c r="I716" t="inlineStr">
        <is>
          <t>1</t>
        </is>
      </c>
      <c r="J716" t="inlineStr">
        <is>
          <t>No</t>
        </is>
      </c>
      <c r="K716" t="inlineStr">
        <is>
          <t>No</t>
        </is>
      </c>
      <c r="L716" t="inlineStr">
        <is>
          <t>0</t>
        </is>
      </c>
      <c r="M716" t="inlineStr">
        <is>
          <t>Hekman, Kenneth M.</t>
        </is>
      </c>
      <c r="N716" t="inlineStr">
        <is>
          <t>Chicago : Irwin Professional Pub., c1997.</t>
        </is>
      </c>
      <c r="O716" t="inlineStr">
        <is>
          <t>1997</t>
        </is>
      </c>
      <c r="Q716" t="inlineStr">
        <is>
          <t>eng</t>
        </is>
      </c>
      <c r="R716" t="inlineStr">
        <is>
          <t>ilu</t>
        </is>
      </c>
      <c r="S716" t="inlineStr">
        <is>
          <t>[The HFMA healthcare financial management series]</t>
        </is>
      </c>
      <c r="T716" t="inlineStr">
        <is>
          <t xml:space="preserve">W  </t>
        </is>
      </c>
      <c r="U716" t="n">
        <v>4</v>
      </c>
      <c r="V716" t="n">
        <v>4</v>
      </c>
      <c r="W716" t="inlineStr">
        <is>
          <t>2007-11-28</t>
        </is>
      </c>
      <c r="X716" t="inlineStr">
        <is>
          <t>2007-11-28</t>
        </is>
      </c>
      <c r="Y716" t="inlineStr">
        <is>
          <t>1999-02-08</t>
        </is>
      </c>
      <c r="Z716" t="inlineStr">
        <is>
          <t>1999-02-08</t>
        </is>
      </c>
      <c r="AA716" t="n">
        <v>72</v>
      </c>
      <c r="AB716" t="n">
        <v>71</v>
      </c>
      <c r="AC716" t="n">
        <v>79</v>
      </c>
      <c r="AD716" t="n">
        <v>1</v>
      </c>
      <c r="AE716" t="n">
        <v>1</v>
      </c>
      <c r="AF716" t="n">
        <v>5</v>
      </c>
      <c r="AG716" t="n">
        <v>7</v>
      </c>
      <c r="AH716" t="n">
        <v>0</v>
      </c>
      <c r="AI716" t="n">
        <v>0</v>
      </c>
      <c r="AJ716" t="n">
        <v>1</v>
      </c>
      <c r="AK716" t="n">
        <v>2</v>
      </c>
      <c r="AL716" t="n">
        <v>3</v>
      </c>
      <c r="AM716" t="n">
        <v>5</v>
      </c>
      <c r="AN716" t="n">
        <v>0</v>
      </c>
      <c r="AO716" t="n">
        <v>0</v>
      </c>
      <c r="AP716" t="n">
        <v>2</v>
      </c>
      <c r="AQ716" t="n">
        <v>2</v>
      </c>
      <c r="AR716" t="inlineStr">
        <is>
          <t>No</t>
        </is>
      </c>
      <c r="AS716" t="inlineStr">
        <is>
          <t>No</t>
        </is>
      </c>
      <c r="AU716">
        <f>HYPERLINK("https://creighton-primo.hosted.exlibrisgroup.com/primo-explore/search?tab=default_tab&amp;search_scope=EVERYTHING&amp;vid=01CRU&amp;lang=en_US&amp;offset=0&amp;query=any,contains,991000875759702656","Catalog Record")</f>
        <v/>
      </c>
      <c r="AV716">
        <f>HYPERLINK("http://www.worldcat.org/oclc/34515615","WorldCat Record")</f>
        <v/>
      </c>
      <c r="AW716" t="inlineStr">
        <is>
          <t>908935756:eng</t>
        </is>
      </c>
      <c r="AX716" t="inlineStr">
        <is>
          <t>34515615</t>
        </is>
      </c>
      <c r="AY716" t="inlineStr">
        <is>
          <t>991000875759702656</t>
        </is>
      </c>
      <c r="AZ716" t="inlineStr">
        <is>
          <t>991000875759702656</t>
        </is>
      </c>
      <c r="BA716" t="inlineStr">
        <is>
          <t>2272016900002656</t>
        </is>
      </c>
      <c r="BB716" t="inlineStr">
        <is>
          <t>BOOK</t>
        </is>
      </c>
      <c r="BD716" t="inlineStr">
        <is>
          <t>9780786308156</t>
        </is>
      </c>
      <c r="BE716" t="inlineStr">
        <is>
          <t>30001004159218</t>
        </is>
      </c>
      <c r="BF716" t="inlineStr">
        <is>
          <t>893560728</t>
        </is>
      </c>
    </row>
    <row r="717">
      <c r="A717" t="inlineStr">
        <is>
          <t>No</t>
        </is>
      </c>
      <c r="B717" t="inlineStr">
        <is>
          <t>CUHSL</t>
        </is>
      </c>
      <c r="C717" t="inlineStr">
        <is>
          <t>SHELVES</t>
        </is>
      </c>
      <c r="D717" t="inlineStr">
        <is>
          <t>W 80 H838 1998</t>
        </is>
      </c>
      <c r="E717" t="inlineStr">
        <is>
          <t>0                      W  0080000H  838         1998</t>
        </is>
      </c>
      <c r="F717" t="inlineStr">
        <is>
          <t>Developing a managed care business plan / by Douglas E. Hough and James E. Bolinger.</t>
        </is>
      </c>
      <c r="H717" t="inlineStr">
        <is>
          <t>No</t>
        </is>
      </c>
      <c r="I717" t="inlineStr">
        <is>
          <t>1</t>
        </is>
      </c>
      <c r="J717" t="inlineStr">
        <is>
          <t>No</t>
        </is>
      </c>
      <c r="K717" t="inlineStr">
        <is>
          <t>No</t>
        </is>
      </c>
      <c r="L717" t="inlineStr">
        <is>
          <t>0</t>
        </is>
      </c>
      <c r="M717" t="inlineStr">
        <is>
          <t>Hough, Douglas E.</t>
        </is>
      </c>
      <c r="N717" t="inlineStr">
        <is>
          <t>Chicago, Ill. : American Medical Association, c1998.</t>
        </is>
      </c>
      <c r="O717" t="inlineStr">
        <is>
          <t>1998</t>
        </is>
      </c>
      <c r="Q717" t="inlineStr">
        <is>
          <t>eng</t>
        </is>
      </c>
      <c r="R717" t="inlineStr">
        <is>
          <t>ilu</t>
        </is>
      </c>
      <c r="T717" t="inlineStr">
        <is>
          <t xml:space="preserve">W  </t>
        </is>
      </c>
      <c r="U717" t="n">
        <v>0</v>
      </c>
      <c r="V717" t="n">
        <v>0</v>
      </c>
      <c r="W717" t="inlineStr">
        <is>
          <t>2004-08-31</t>
        </is>
      </c>
      <c r="X717" t="inlineStr">
        <is>
          <t>2004-08-31</t>
        </is>
      </c>
      <c r="Y717" t="inlineStr">
        <is>
          <t>2004-08-31</t>
        </is>
      </c>
      <c r="Z717" t="inlineStr">
        <is>
          <t>2004-08-31</t>
        </is>
      </c>
      <c r="AA717" t="n">
        <v>50</v>
      </c>
      <c r="AB717" t="n">
        <v>47</v>
      </c>
      <c r="AC717" t="n">
        <v>49</v>
      </c>
      <c r="AD717" t="n">
        <v>1</v>
      </c>
      <c r="AE717" t="n">
        <v>1</v>
      </c>
      <c r="AF717" t="n">
        <v>1</v>
      </c>
      <c r="AG717" t="n">
        <v>1</v>
      </c>
      <c r="AH717" t="n">
        <v>0</v>
      </c>
      <c r="AI717" t="n">
        <v>0</v>
      </c>
      <c r="AJ717" t="n">
        <v>0</v>
      </c>
      <c r="AK717" t="n">
        <v>0</v>
      </c>
      <c r="AL717" t="n">
        <v>1</v>
      </c>
      <c r="AM717" t="n">
        <v>1</v>
      </c>
      <c r="AN717" t="n">
        <v>0</v>
      </c>
      <c r="AO717" t="n">
        <v>0</v>
      </c>
      <c r="AP717" t="n">
        <v>0</v>
      </c>
      <c r="AQ717" t="n">
        <v>0</v>
      </c>
      <c r="AR717" t="inlineStr">
        <is>
          <t>No</t>
        </is>
      </c>
      <c r="AS717" t="inlineStr">
        <is>
          <t>Yes</t>
        </is>
      </c>
      <c r="AT717">
        <f>HYPERLINK("http://catalog.hathitrust.org/Record/003959857","HathiTrust Record")</f>
        <v/>
      </c>
      <c r="AU717">
        <f>HYPERLINK("https://creighton-primo.hosted.exlibrisgroup.com/primo-explore/search?tab=default_tab&amp;search_scope=EVERYTHING&amp;vid=01CRU&amp;lang=en_US&amp;offset=0&amp;query=any,contains,991000381599702656","Catalog Record")</f>
        <v/>
      </c>
      <c r="AV717">
        <f>HYPERLINK("http://www.worldcat.org/oclc/38589753","WorldCat Record")</f>
        <v/>
      </c>
      <c r="AW717" t="inlineStr">
        <is>
          <t>652729:eng</t>
        </is>
      </c>
      <c r="AX717" t="inlineStr">
        <is>
          <t>38589753</t>
        </is>
      </c>
      <c r="AY717" t="inlineStr">
        <is>
          <t>991000381599702656</t>
        </is>
      </c>
      <c r="AZ717" t="inlineStr">
        <is>
          <t>991000381599702656</t>
        </is>
      </c>
      <c r="BA717" t="inlineStr">
        <is>
          <t>2261596590002656</t>
        </is>
      </c>
      <c r="BB717" t="inlineStr">
        <is>
          <t>BOOK</t>
        </is>
      </c>
      <c r="BD717" t="inlineStr">
        <is>
          <t>9780899708706</t>
        </is>
      </c>
      <c r="BE717" t="inlineStr">
        <is>
          <t>30001004841195</t>
        </is>
      </c>
      <c r="BF717" t="inlineStr">
        <is>
          <t>893732824</t>
        </is>
      </c>
    </row>
    <row r="718">
      <c r="A718" t="inlineStr">
        <is>
          <t>No</t>
        </is>
      </c>
      <c r="B718" t="inlineStr">
        <is>
          <t>CUHSL</t>
        </is>
      </c>
      <c r="C718" t="inlineStr">
        <is>
          <t>SHELVES</t>
        </is>
      </c>
      <c r="D718" t="inlineStr">
        <is>
          <t>W 80 M122 1999</t>
        </is>
      </c>
      <c r="E718" t="inlineStr">
        <is>
          <t>0                      W  0080000M  122         1999</t>
        </is>
      </c>
      <c r="F718" t="inlineStr">
        <is>
          <t>Economic security for healthcare providers : managing your finances for professional &amp; personal prosperity / John F. McCally and Paul A. Wilkus.</t>
        </is>
      </c>
      <c r="H718" t="inlineStr">
        <is>
          <t>No</t>
        </is>
      </c>
      <c r="I718" t="inlineStr">
        <is>
          <t>1</t>
        </is>
      </c>
      <c r="J718" t="inlineStr">
        <is>
          <t>No</t>
        </is>
      </c>
      <c r="K718" t="inlineStr">
        <is>
          <t>No</t>
        </is>
      </c>
      <c r="L718" t="inlineStr">
        <is>
          <t>0</t>
        </is>
      </c>
      <c r="M718" t="inlineStr">
        <is>
          <t>McCally, John F.</t>
        </is>
      </c>
      <c r="N718" t="inlineStr">
        <is>
          <t>New York : McGraw-Hill, 1999.</t>
        </is>
      </c>
      <c r="O718" t="inlineStr">
        <is>
          <t>1999</t>
        </is>
      </c>
      <c r="Q718" t="inlineStr">
        <is>
          <t>eng</t>
        </is>
      </c>
      <c r="R718" t="inlineStr">
        <is>
          <t>nyu</t>
        </is>
      </c>
      <c r="T718" t="inlineStr">
        <is>
          <t xml:space="preserve">W  </t>
        </is>
      </c>
      <c r="U718" t="n">
        <v>0</v>
      </c>
      <c r="V718" t="n">
        <v>0</v>
      </c>
      <c r="W718" t="inlineStr">
        <is>
          <t>2004-09-24</t>
        </is>
      </c>
      <c r="X718" t="inlineStr">
        <is>
          <t>2004-09-24</t>
        </is>
      </c>
      <c r="Y718" t="inlineStr">
        <is>
          <t>2004-09-24</t>
        </is>
      </c>
      <c r="Z718" t="inlineStr">
        <is>
          <t>2004-09-24</t>
        </is>
      </c>
      <c r="AA718" t="n">
        <v>16</v>
      </c>
      <c r="AB718" t="n">
        <v>16</v>
      </c>
      <c r="AC718" t="n">
        <v>16</v>
      </c>
      <c r="AD718" t="n">
        <v>1</v>
      </c>
      <c r="AE718" t="n">
        <v>1</v>
      </c>
      <c r="AF718" t="n">
        <v>0</v>
      </c>
      <c r="AG718" t="n">
        <v>0</v>
      </c>
      <c r="AH718" t="n">
        <v>0</v>
      </c>
      <c r="AI718" t="n">
        <v>0</v>
      </c>
      <c r="AJ718" t="n">
        <v>0</v>
      </c>
      <c r="AK718" t="n">
        <v>0</v>
      </c>
      <c r="AL718" t="n">
        <v>0</v>
      </c>
      <c r="AM718" t="n">
        <v>0</v>
      </c>
      <c r="AN718" t="n">
        <v>0</v>
      </c>
      <c r="AO718" t="n">
        <v>0</v>
      </c>
      <c r="AP718" t="n">
        <v>0</v>
      </c>
      <c r="AQ718" t="n">
        <v>0</v>
      </c>
      <c r="AR718" t="inlineStr">
        <is>
          <t>No</t>
        </is>
      </c>
      <c r="AS718" t="inlineStr">
        <is>
          <t>No</t>
        </is>
      </c>
      <c r="AU718">
        <f>HYPERLINK("https://creighton-primo.hosted.exlibrisgroup.com/primo-explore/search?tab=default_tab&amp;search_scope=EVERYTHING&amp;vid=01CRU&amp;lang=en_US&amp;offset=0&amp;query=any,contains,991000396019702656","Catalog Record")</f>
        <v/>
      </c>
      <c r="AV718">
        <f>HYPERLINK("http://www.worldcat.org/oclc/40159103","WorldCat Record")</f>
        <v/>
      </c>
      <c r="AW718" t="inlineStr">
        <is>
          <t>3192214:eng</t>
        </is>
      </c>
      <c r="AX718" t="inlineStr">
        <is>
          <t>40159103</t>
        </is>
      </c>
      <c r="AY718" t="inlineStr">
        <is>
          <t>991000396019702656</t>
        </is>
      </c>
      <c r="AZ718" t="inlineStr">
        <is>
          <t>991000396019702656</t>
        </is>
      </c>
      <c r="BA718" t="inlineStr">
        <is>
          <t>2261452780002656</t>
        </is>
      </c>
      <c r="BB718" t="inlineStr">
        <is>
          <t>BOOK</t>
        </is>
      </c>
      <c r="BD718" t="inlineStr">
        <is>
          <t>9780070453586</t>
        </is>
      </c>
      <c r="BE718" t="inlineStr">
        <is>
          <t>30001004979029</t>
        </is>
      </c>
      <c r="BF718" t="inlineStr">
        <is>
          <t>893537144</t>
        </is>
      </c>
    </row>
    <row r="719">
      <c r="A719" t="inlineStr">
        <is>
          <t>No</t>
        </is>
      </c>
      <c r="B719" t="inlineStr">
        <is>
          <t>CUHSL</t>
        </is>
      </c>
      <c r="C719" t="inlineStr">
        <is>
          <t>SHELVES</t>
        </is>
      </c>
      <c r="D719" t="inlineStr">
        <is>
          <t>W 80 M478 2002</t>
        </is>
      </c>
      <c r="E719" t="inlineStr">
        <is>
          <t>0                      W  0080000M  478         2002</t>
        </is>
      </c>
      <c r="F719" t="inlineStr">
        <is>
          <t>MBA handbook for healthcare professionals / edited by Joseph S. Sanfilippo, Thomas E. Nolan, Bates H. Whiteside.</t>
        </is>
      </c>
      <c r="H719" t="inlineStr">
        <is>
          <t>No</t>
        </is>
      </c>
      <c r="I719" t="inlineStr">
        <is>
          <t>1</t>
        </is>
      </c>
      <c r="J719" t="inlineStr">
        <is>
          <t>No</t>
        </is>
      </c>
      <c r="K719" t="inlineStr">
        <is>
          <t>No</t>
        </is>
      </c>
      <c r="L719" t="inlineStr">
        <is>
          <t>0</t>
        </is>
      </c>
      <c r="N719" t="inlineStr">
        <is>
          <t>Boca Raton : Parthenon Pub. Group, c2002.</t>
        </is>
      </c>
      <c r="O719" t="inlineStr">
        <is>
          <t>2002</t>
        </is>
      </c>
      <c r="Q719" t="inlineStr">
        <is>
          <t>eng</t>
        </is>
      </c>
      <c r="R719" t="inlineStr">
        <is>
          <t>flu</t>
        </is>
      </c>
      <c r="T719" t="inlineStr">
        <is>
          <t xml:space="preserve">W  </t>
        </is>
      </c>
      <c r="U719" t="n">
        <v>6</v>
      </c>
      <c r="V719" t="n">
        <v>6</v>
      </c>
      <c r="W719" t="inlineStr">
        <is>
          <t>2008-05-03</t>
        </is>
      </c>
      <c r="X719" t="inlineStr">
        <is>
          <t>2008-05-03</t>
        </is>
      </c>
      <c r="Y719" t="inlineStr">
        <is>
          <t>2004-08-26</t>
        </is>
      </c>
      <c r="Z719" t="inlineStr">
        <is>
          <t>2004-08-26</t>
        </is>
      </c>
      <c r="AA719" t="n">
        <v>78</v>
      </c>
      <c r="AB719" t="n">
        <v>69</v>
      </c>
      <c r="AC719" t="n">
        <v>74</v>
      </c>
      <c r="AD719" t="n">
        <v>1</v>
      </c>
      <c r="AE719" t="n">
        <v>1</v>
      </c>
      <c r="AF719" t="n">
        <v>2</v>
      </c>
      <c r="AG719" t="n">
        <v>2</v>
      </c>
      <c r="AH719" t="n">
        <v>1</v>
      </c>
      <c r="AI719" t="n">
        <v>1</v>
      </c>
      <c r="AJ719" t="n">
        <v>0</v>
      </c>
      <c r="AK719" t="n">
        <v>0</v>
      </c>
      <c r="AL719" t="n">
        <v>1</v>
      </c>
      <c r="AM719" t="n">
        <v>1</v>
      </c>
      <c r="AN719" t="n">
        <v>0</v>
      </c>
      <c r="AO719" t="n">
        <v>0</v>
      </c>
      <c r="AP719" t="n">
        <v>0</v>
      </c>
      <c r="AQ719" t="n">
        <v>0</v>
      </c>
      <c r="AR719" t="inlineStr">
        <is>
          <t>No</t>
        </is>
      </c>
      <c r="AS719" t="inlineStr">
        <is>
          <t>No</t>
        </is>
      </c>
      <c r="AU719">
        <f>HYPERLINK("https://creighton-primo.hosted.exlibrisgroup.com/primo-explore/search?tab=default_tab&amp;search_scope=EVERYTHING&amp;vid=01CRU&amp;lang=en_US&amp;offset=0&amp;query=any,contains,991000378839702656","Catalog Record")</f>
        <v/>
      </c>
      <c r="AV719">
        <f>HYPERLINK("http://www.worldcat.org/oclc/47923430","WorldCat Record")</f>
        <v/>
      </c>
      <c r="AW719" t="inlineStr">
        <is>
          <t>4495162190:eng</t>
        </is>
      </c>
      <c r="AX719" t="inlineStr">
        <is>
          <t>47923430</t>
        </is>
      </c>
      <c r="AY719" t="inlineStr">
        <is>
          <t>991000378839702656</t>
        </is>
      </c>
      <c r="AZ719" t="inlineStr">
        <is>
          <t>991000378839702656</t>
        </is>
      </c>
      <c r="BA719" t="inlineStr">
        <is>
          <t>2265735670002656</t>
        </is>
      </c>
      <c r="BB719" t="inlineStr">
        <is>
          <t>BOOK</t>
        </is>
      </c>
      <c r="BD719" t="inlineStr">
        <is>
          <t>9781842140741</t>
        </is>
      </c>
      <c r="BE719" t="inlineStr">
        <is>
          <t>30001004219681</t>
        </is>
      </c>
      <c r="BF719" t="inlineStr">
        <is>
          <t>893354256</t>
        </is>
      </c>
    </row>
    <row r="720">
      <c r="A720" t="inlineStr">
        <is>
          <t>No</t>
        </is>
      </c>
      <c r="B720" t="inlineStr">
        <is>
          <t>CUHSL</t>
        </is>
      </c>
      <c r="C720" t="inlineStr">
        <is>
          <t>SHELVES</t>
        </is>
      </c>
      <c r="D720" t="inlineStr">
        <is>
          <t>W 80 M48845 2001</t>
        </is>
      </c>
      <c r="E720" t="inlineStr">
        <is>
          <t>0                      W  0080000M  48845       2001</t>
        </is>
      </c>
      <c r="F720" t="inlineStr">
        <is>
          <t>Medical practice divorce : successfully managing a medical business breakup / Joel M. Blau ... [et al.].</t>
        </is>
      </c>
      <c r="H720" t="inlineStr">
        <is>
          <t>No</t>
        </is>
      </c>
      <c r="I720" t="inlineStr">
        <is>
          <t>1</t>
        </is>
      </c>
      <c r="J720" t="inlineStr">
        <is>
          <t>No</t>
        </is>
      </c>
      <c r="K720" t="inlineStr">
        <is>
          <t>No</t>
        </is>
      </c>
      <c r="L720" t="inlineStr">
        <is>
          <t>0</t>
        </is>
      </c>
      <c r="N720" t="inlineStr">
        <is>
          <t>[Chicago, Ill.] : AMA Press, c2001.</t>
        </is>
      </c>
      <c r="O720" t="inlineStr">
        <is>
          <t>2001</t>
        </is>
      </c>
      <c r="Q720" t="inlineStr">
        <is>
          <t>eng</t>
        </is>
      </c>
      <c r="R720" t="inlineStr">
        <is>
          <t>ilu</t>
        </is>
      </c>
      <c r="T720" t="inlineStr">
        <is>
          <t xml:space="preserve">W  </t>
        </is>
      </c>
      <c r="U720" t="n">
        <v>0</v>
      </c>
      <c r="V720" t="n">
        <v>0</v>
      </c>
      <c r="W720" t="inlineStr">
        <is>
          <t>2003-10-28</t>
        </is>
      </c>
      <c r="X720" t="inlineStr">
        <is>
          <t>2003-10-28</t>
        </is>
      </c>
      <c r="Y720" t="inlineStr">
        <is>
          <t>2003-10-17</t>
        </is>
      </c>
      <c r="Z720" t="inlineStr">
        <is>
          <t>2003-10-17</t>
        </is>
      </c>
      <c r="AA720" t="n">
        <v>54</v>
      </c>
      <c r="AB720" t="n">
        <v>52</v>
      </c>
      <c r="AC720" t="n">
        <v>52</v>
      </c>
      <c r="AD720" t="n">
        <v>1</v>
      </c>
      <c r="AE720" t="n">
        <v>1</v>
      </c>
      <c r="AF720" t="n">
        <v>7</v>
      </c>
      <c r="AG720" t="n">
        <v>7</v>
      </c>
      <c r="AH720" t="n">
        <v>2</v>
      </c>
      <c r="AI720" t="n">
        <v>2</v>
      </c>
      <c r="AJ720" t="n">
        <v>2</v>
      </c>
      <c r="AK720" t="n">
        <v>2</v>
      </c>
      <c r="AL720" t="n">
        <v>1</v>
      </c>
      <c r="AM720" t="n">
        <v>1</v>
      </c>
      <c r="AN720" t="n">
        <v>0</v>
      </c>
      <c r="AO720" t="n">
        <v>0</v>
      </c>
      <c r="AP720" t="n">
        <v>3</v>
      </c>
      <c r="AQ720" t="n">
        <v>3</v>
      </c>
      <c r="AR720" t="inlineStr">
        <is>
          <t>No</t>
        </is>
      </c>
      <c r="AS720" t="inlineStr">
        <is>
          <t>No</t>
        </is>
      </c>
      <c r="AU720">
        <f>HYPERLINK("https://creighton-primo.hosted.exlibrisgroup.com/primo-explore/search?tab=default_tab&amp;search_scope=EVERYTHING&amp;vid=01CRU&amp;lang=en_US&amp;offset=0&amp;query=any,contains,991000359219702656","Catalog Record")</f>
        <v/>
      </c>
      <c r="AV720">
        <f>HYPERLINK("http://www.worldcat.org/oclc/47966707","WorldCat Record")</f>
        <v/>
      </c>
      <c r="AW720" t="inlineStr">
        <is>
          <t>37023806:eng</t>
        </is>
      </c>
      <c r="AX720" t="inlineStr">
        <is>
          <t>47966707</t>
        </is>
      </c>
      <c r="AY720" t="inlineStr">
        <is>
          <t>991000359219702656</t>
        </is>
      </c>
      <c r="AZ720" t="inlineStr">
        <is>
          <t>991000359219702656</t>
        </is>
      </c>
      <c r="BA720" t="inlineStr">
        <is>
          <t>2269598680002656</t>
        </is>
      </c>
      <c r="BB720" t="inlineStr">
        <is>
          <t>BOOK</t>
        </is>
      </c>
      <c r="BD720" t="inlineStr">
        <is>
          <t>9780899709901</t>
        </is>
      </c>
      <c r="BE720" t="inlineStr">
        <is>
          <t>30001004218113</t>
        </is>
      </c>
      <c r="BF720" t="inlineStr">
        <is>
          <t>893827421</t>
        </is>
      </c>
    </row>
    <row r="721">
      <c r="A721" t="inlineStr">
        <is>
          <t>No</t>
        </is>
      </c>
      <c r="B721" t="inlineStr">
        <is>
          <t>CUHSL</t>
        </is>
      </c>
      <c r="C721" t="inlineStr">
        <is>
          <t>SHELVES</t>
        </is>
      </c>
      <c r="D721" t="inlineStr">
        <is>
          <t>W 80 M4917 2001</t>
        </is>
      </c>
      <c r="E721" t="inlineStr">
        <is>
          <t>0                      W  0080000M  4917        2001</t>
        </is>
      </c>
      <c r="F721" t="inlineStr">
        <is>
          <t>Medicine and business : bridging the gap / edited by Sheldon Rovin.</t>
        </is>
      </c>
      <c r="H721" t="inlineStr">
        <is>
          <t>No</t>
        </is>
      </c>
      <c r="I721" t="inlineStr">
        <is>
          <t>1</t>
        </is>
      </c>
      <c r="J721" t="inlineStr">
        <is>
          <t>No</t>
        </is>
      </c>
      <c r="K721" t="inlineStr">
        <is>
          <t>No</t>
        </is>
      </c>
      <c r="L721" t="inlineStr">
        <is>
          <t>0</t>
        </is>
      </c>
      <c r="N721" t="inlineStr">
        <is>
          <t>Gaithersburg, Md. : Aspen Publishers, 2001.</t>
        </is>
      </c>
      <c r="O721" t="inlineStr">
        <is>
          <t>2000</t>
        </is>
      </c>
      <c r="Q721" t="inlineStr">
        <is>
          <t>eng</t>
        </is>
      </c>
      <c r="R721" t="inlineStr">
        <is>
          <t>mdu</t>
        </is>
      </c>
      <c r="T721" t="inlineStr">
        <is>
          <t xml:space="preserve">W  </t>
        </is>
      </c>
      <c r="U721" t="n">
        <v>3</v>
      </c>
      <c r="V721" t="n">
        <v>3</v>
      </c>
      <c r="W721" t="inlineStr">
        <is>
          <t>2008-05-03</t>
        </is>
      </c>
      <c r="X721" t="inlineStr">
        <is>
          <t>2008-05-03</t>
        </is>
      </c>
      <c r="Y721" t="inlineStr">
        <is>
          <t>2003-10-17</t>
        </is>
      </c>
      <c r="Z721" t="inlineStr">
        <is>
          <t>2003-10-17</t>
        </is>
      </c>
      <c r="AA721" t="n">
        <v>126</v>
      </c>
      <c r="AB721" t="n">
        <v>115</v>
      </c>
      <c r="AC721" t="n">
        <v>120</v>
      </c>
      <c r="AD721" t="n">
        <v>1</v>
      </c>
      <c r="AE721" t="n">
        <v>1</v>
      </c>
      <c r="AF721" t="n">
        <v>3</v>
      </c>
      <c r="AG721" t="n">
        <v>3</v>
      </c>
      <c r="AH721" t="n">
        <v>1</v>
      </c>
      <c r="AI721" t="n">
        <v>1</v>
      </c>
      <c r="AJ721" t="n">
        <v>1</v>
      </c>
      <c r="AK721" t="n">
        <v>1</v>
      </c>
      <c r="AL721" t="n">
        <v>1</v>
      </c>
      <c r="AM721" t="n">
        <v>1</v>
      </c>
      <c r="AN721" t="n">
        <v>0</v>
      </c>
      <c r="AO721" t="n">
        <v>0</v>
      </c>
      <c r="AP721" t="n">
        <v>0</v>
      </c>
      <c r="AQ721" t="n">
        <v>0</v>
      </c>
      <c r="AR721" t="inlineStr">
        <is>
          <t>No</t>
        </is>
      </c>
      <c r="AS721" t="inlineStr">
        <is>
          <t>No</t>
        </is>
      </c>
      <c r="AU721">
        <f>HYPERLINK("https://creighton-primo.hosted.exlibrisgroup.com/primo-explore/search?tab=default_tab&amp;search_scope=EVERYTHING&amp;vid=01CRU&amp;lang=en_US&amp;offset=0&amp;query=any,contains,991000358939702656","Catalog Record")</f>
        <v/>
      </c>
      <c r="AV721">
        <f>HYPERLINK("http://www.worldcat.org/oclc/44040393","WorldCat Record")</f>
        <v/>
      </c>
      <c r="AW721" t="inlineStr">
        <is>
          <t>33615765:eng</t>
        </is>
      </c>
      <c r="AX721" t="inlineStr">
        <is>
          <t>44040393</t>
        </is>
      </c>
      <c r="AY721" t="inlineStr">
        <is>
          <t>991000358939702656</t>
        </is>
      </c>
      <c r="AZ721" t="inlineStr">
        <is>
          <t>991000358939702656</t>
        </is>
      </c>
      <c r="BA721" t="inlineStr">
        <is>
          <t>2256530630002656</t>
        </is>
      </c>
      <c r="BB721" t="inlineStr">
        <is>
          <t>BOOK</t>
        </is>
      </c>
      <c r="BD721" t="inlineStr">
        <is>
          <t>9780834216129</t>
        </is>
      </c>
      <c r="BE721" t="inlineStr">
        <is>
          <t>30001004218162</t>
        </is>
      </c>
      <c r="BF721" t="inlineStr">
        <is>
          <t>893375485</t>
        </is>
      </c>
    </row>
    <row r="722">
      <c r="A722" t="inlineStr">
        <is>
          <t>No</t>
        </is>
      </c>
      <c r="B722" t="inlineStr">
        <is>
          <t>CUHSL</t>
        </is>
      </c>
      <c r="C722" t="inlineStr">
        <is>
          <t>SHELVES</t>
        </is>
      </c>
      <c r="D722" t="inlineStr">
        <is>
          <t>W 80 O12c 1987</t>
        </is>
      </c>
      <c r="E722" t="inlineStr">
        <is>
          <t>0                      W  0080000O  12c         1987</t>
        </is>
      </c>
      <c r="F722" t="inlineStr">
        <is>
          <t>Computers in private practice management / Byron B. Oberst, John M. Long ; with a foreword by Marion J. Ball.</t>
        </is>
      </c>
      <c r="H722" t="inlineStr">
        <is>
          <t>No</t>
        </is>
      </c>
      <c r="I722" t="inlineStr">
        <is>
          <t>1</t>
        </is>
      </c>
      <c r="J722" t="inlineStr">
        <is>
          <t>No</t>
        </is>
      </c>
      <c r="K722" t="inlineStr">
        <is>
          <t>No</t>
        </is>
      </c>
      <c r="L722" t="inlineStr">
        <is>
          <t>0</t>
        </is>
      </c>
      <c r="M722" t="inlineStr">
        <is>
          <t>Oberst, Byron B.</t>
        </is>
      </c>
      <c r="N722" t="inlineStr">
        <is>
          <t>New York : Springer-Verlag, c1987.</t>
        </is>
      </c>
      <c r="O722" t="inlineStr">
        <is>
          <t>1987</t>
        </is>
      </c>
      <c r="Q722" t="inlineStr">
        <is>
          <t>eng</t>
        </is>
      </c>
      <c r="R722" t="inlineStr">
        <is>
          <t>xxu</t>
        </is>
      </c>
      <c r="T722" t="inlineStr">
        <is>
          <t xml:space="preserve">W  </t>
        </is>
      </c>
      <c r="U722" t="n">
        <v>4</v>
      </c>
      <c r="V722" t="n">
        <v>4</v>
      </c>
      <c r="W722" t="inlineStr">
        <is>
          <t>1988-11-03</t>
        </is>
      </c>
      <c r="X722" t="inlineStr">
        <is>
          <t>1988-11-03</t>
        </is>
      </c>
      <c r="Y722" t="inlineStr">
        <is>
          <t>1988-10-25</t>
        </is>
      </c>
      <c r="Z722" t="inlineStr">
        <is>
          <t>1988-10-25</t>
        </is>
      </c>
      <c r="AA722" t="n">
        <v>71</v>
      </c>
      <c r="AB722" t="n">
        <v>45</v>
      </c>
      <c r="AC722" t="n">
        <v>66</v>
      </c>
      <c r="AD722" t="n">
        <v>1</v>
      </c>
      <c r="AE722" t="n">
        <v>1</v>
      </c>
      <c r="AF722" t="n">
        <v>0</v>
      </c>
      <c r="AG722" t="n">
        <v>0</v>
      </c>
      <c r="AH722" t="n">
        <v>0</v>
      </c>
      <c r="AI722" t="n">
        <v>0</v>
      </c>
      <c r="AJ722" t="n">
        <v>0</v>
      </c>
      <c r="AK722" t="n">
        <v>0</v>
      </c>
      <c r="AL722" t="n">
        <v>0</v>
      </c>
      <c r="AM722" t="n">
        <v>0</v>
      </c>
      <c r="AN722" t="n">
        <v>0</v>
      </c>
      <c r="AO722" t="n">
        <v>0</v>
      </c>
      <c r="AP722" t="n">
        <v>0</v>
      </c>
      <c r="AQ722" t="n">
        <v>0</v>
      </c>
      <c r="AR722" t="inlineStr">
        <is>
          <t>No</t>
        </is>
      </c>
      <c r="AS722" t="inlineStr">
        <is>
          <t>Yes</t>
        </is>
      </c>
      <c r="AT722">
        <f>HYPERLINK("http://catalog.hathitrust.org/Record/006251038","HathiTrust Record")</f>
        <v/>
      </c>
      <c r="AU722">
        <f>HYPERLINK("https://creighton-primo.hosted.exlibrisgroup.com/primo-explore/search?tab=default_tab&amp;search_scope=EVERYTHING&amp;vid=01CRU&amp;lang=en_US&amp;offset=0&amp;query=any,contains,991001425869702656","Catalog Record")</f>
        <v/>
      </c>
      <c r="AV722">
        <f>HYPERLINK("http://www.worldcat.org/oclc/15520617","WorldCat Record")</f>
        <v/>
      </c>
      <c r="AW722" t="inlineStr">
        <is>
          <t>10196783:eng</t>
        </is>
      </c>
      <c r="AX722" t="inlineStr">
        <is>
          <t>15520617</t>
        </is>
      </c>
      <c r="AY722" t="inlineStr">
        <is>
          <t>991001425869702656</t>
        </is>
      </c>
      <c r="AZ722" t="inlineStr">
        <is>
          <t>991001425869702656</t>
        </is>
      </c>
      <c r="BA722" t="inlineStr">
        <is>
          <t>2265189890002656</t>
        </is>
      </c>
      <c r="BB722" t="inlineStr">
        <is>
          <t>BOOK</t>
        </is>
      </c>
      <c r="BD722" t="inlineStr">
        <is>
          <t>9780387965024</t>
        </is>
      </c>
      <c r="BE722" t="inlineStr">
        <is>
          <t>30001001184375</t>
        </is>
      </c>
      <c r="BF722" t="inlineStr">
        <is>
          <t>893465512</t>
        </is>
      </c>
    </row>
    <row r="723">
      <c r="A723" t="inlineStr">
        <is>
          <t>No</t>
        </is>
      </c>
      <c r="B723" t="inlineStr">
        <is>
          <t>CUHSL</t>
        </is>
      </c>
      <c r="C723" t="inlineStr">
        <is>
          <t>SHELVES</t>
        </is>
      </c>
      <c r="D723" t="inlineStr">
        <is>
          <t>W 80 P578 1980</t>
        </is>
      </c>
      <c r="E723" t="inlineStr">
        <is>
          <t>0                      W  0080000P  578         1980</t>
        </is>
      </c>
      <c r="F723" t="inlineStr">
        <is>
          <t>The Physician's practice / [edited by] John M. Eisenberg, Sankey V. Williams, Ellen S. Smith, coordinating editor.</t>
        </is>
      </c>
      <c r="H723" t="inlineStr">
        <is>
          <t>No</t>
        </is>
      </c>
      <c r="I723" t="inlineStr">
        <is>
          <t>1</t>
        </is>
      </c>
      <c r="J723" t="inlineStr">
        <is>
          <t>No</t>
        </is>
      </c>
      <c r="K723" t="inlineStr">
        <is>
          <t>No</t>
        </is>
      </c>
      <c r="L723" t="inlineStr">
        <is>
          <t>0</t>
        </is>
      </c>
      <c r="N723" t="inlineStr">
        <is>
          <t>New York : Wiley, c1980.</t>
        </is>
      </c>
      <c r="O723" t="inlineStr">
        <is>
          <t>1980</t>
        </is>
      </c>
      <c r="Q723" t="inlineStr">
        <is>
          <t>eng</t>
        </is>
      </c>
      <c r="R723" t="inlineStr">
        <is>
          <t>xxu</t>
        </is>
      </c>
      <c r="S723" t="inlineStr">
        <is>
          <t>A Wiley medical publication</t>
        </is>
      </c>
      <c r="T723" t="inlineStr">
        <is>
          <t xml:space="preserve">W  </t>
        </is>
      </c>
      <c r="U723" t="n">
        <v>1</v>
      </c>
      <c r="V723" t="n">
        <v>1</v>
      </c>
      <c r="W723" t="inlineStr">
        <is>
          <t>2001-06-13</t>
        </is>
      </c>
      <c r="X723" t="inlineStr">
        <is>
          <t>2001-06-13</t>
        </is>
      </c>
      <c r="Y723" t="inlineStr">
        <is>
          <t>1987-12-21</t>
        </is>
      </c>
      <c r="Z723" t="inlineStr">
        <is>
          <t>1987-12-21</t>
        </is>
      </c>
      <c r="AA723" t="n">
        <v>92</v>
      </c>
      <c r="AB723" t="n">
        <v>70</v>
      </c>
      <c r="AC723" t="n">
        <v>70</v>
      </c>
      <c r="AD723" t="n">
        <v>1</v>
      </c>
      <c r="AE723" t="n">
        <v>1</v>
      </c>
      <c r="AF723" t="n">
        <v>1</v>
      </c>
      <c r="AG723" t="n">
        <v>1</v>
      </c>
      <c r="AH723" t="n">
        <v>0</v>
      </c>
      <c r="AI723" t="n">
        <v>0</v>
      </c>
      <c r="AJ723" t="n">
        <v>0</v>
      </c>
      <c r="AK723" t="n">
        <v>0</v>
      </c>
      <c r="AL723" t="n">
        <v>0</v>
      </c>
      <c r="AM723" t="n">
        <v>0</v>
      </c>
      <c r="AN723" t="n">
        <v>0</v>
      </c>
      <c r="AO723" t="n">
        <v>0</v>
      </c>
      <c r="AP723" t="n">
        <v>1</v>
      </c>
      <c r="AQ723" t="n">
        <v>1</v>
      </c>
      <c r="AR723" t="inlineStr">
        <is>
          <t>No</t>
        </is>
      </c>
      <c r="AS723" t="inlineStr">
        <is>
          <t>No</t>
        </is>
      </c>
      <c r="AU723">
        <f>HYPERLINK("https://creighton-primo.hosted.exlibrisgroup.com/primo-explore/search?tab=default_tab&amp;search_scope=EVERYTHING&amp;vid=01CRU&amp;lang=en_US&amp;offset=0&amp;query=any,contains,991000654979702656","Catalog Record")</f>
        <v/>
      </c>
      <c r="AV723">
        <f>HYPERLINK("http://www.worldcat.org/oclc/6196531","WorldCat Record")</f>
        <v/>
      </c>
      <c r="AW723" t="inlineStr">
        <is>
          <t>54371348:eng</t>
        </is>
      </c>
      <c r="AX723" t="inlineStr">
        <is>
          <t>6196531</t>
        </is>
      </c>
      <c r="AY723" t="inlineStr">
        <is>
          <t>991000654979702656</t>
        </is>
      </c>
      <c r="AZ723" t="inlineStr">
        <is>
          <t>991000654979702656</t>
        </is>
      </c>
      <c r="BA723" t="inlineStr">
        <is>
          <t>2264314230002656</t>
        </is>
      </c>
      <c r="BB723" t="inlineStr">
        <is>
          <t>BOOK</t>
        </is>
      </c>
      <c r="BD723" t="inlineStr">
        <is>
          <t>9780471054696</t>
        </is>
      </c>
      <c r="BE723" t="inlineStr">
        <is>
          <t>30001000687741</t>
        </is>
      </c>
      <c r="BF723" t="inlineStr">
        <is>
          <t>893560379</t>
        </is>
      </c>
    </row>
    <row r="724">
      <c r="A724" t="inlineStr">
        <is>
          <t>No</t>
        </is>
      </c>
      <c r="B724" t="inlineStr">
        <is>
          <t>CUHSL</t>
        </is>
      </c>
      <c r="C724" t="inlineStr">
        <is>
          <t>SHELVES</t>
        </is>
      </c>
      <c r="D724" t="inlineStr">
        <is>
          <t>W 80 R332a 2000</t>
        </is>
      </c>
      <c r="E724" t="inlineStr">
        <is>
          <t>0                      W  0080000R  332a        2000</t>
        </is>
      </c>
      <c r="F724" t="inlineStr">
        <is>
          <t>Assessing and improving staffing and organization / prepared for the American Medical Association by Crystal S. Reeves.</t>
        </is>
      </c>
      <c r="H724" t="inlineStr">
        <is>
          <t>No</t>
        </is>
      </c>
      <c r="I724" t="inlineStr">
        <is>
          <t>1</t>
        </is>
      </c>
      <c r="J724" t="inlineStr">
        <is>
          <t>No</t>
        </is>
      </c>
      <c r="K724" t="inlineStr">
        <is>
          <t>No</t>
        </is>
      </c>
      <c r="L724" t="inlineStr">
        <is>
          <t>0</t>
        </is>
      </c>
      <c r="M724" t="inlineStr">
        <is>
          <t>Reeves, Crystal S.</t>
        </is>
      </c>
      <c r="N724" t="inlineStr">
        <is>
          <t>Chicago : AMA Press, c2000.</t>
        </is>
      </c>
      <c r="O724" t="inlineStr">
        <is>
          <t>2000</t>
        </is>
      </c>
      <c r="Q724" t="inlineStr">
        <is>
          <t>eng</t>
        </is>
      </c>
      <c r="R724" t="inlineStr">
        <is>
          <t>ilu</t>
        </is>
      </c>
      <c r="T724" t="inlineStr">
        <is>
          <t xml:space="preserve">W  </t>
        </is>
      </c>
      <c r="U724" t="n">
        <v>1</v>
      </c>
      <c r="V724" t="n">
        <v>1</v>
      </c>
      <c r="W724" t="inlineStr">
        <is>
          <t>2007-04-13</t>
        </is>
      </c>
      <c r="X724" t="inlineStr">
        <is>
          <t>2007-04-13</t>
        </is>
      </c>
      <c r="Y724" t="inlineStr">
        <is>
          <t>2004-08-27</t>
        </is>
      </c>
      <c r="Z724" t="inlineStr">
        <is>
          <t>2004-08-27</t>
        </is>
      </c>
      <c r="AA724" t="n">
        <v>42</v>
      </c>
      <c r="AB724" t="n">
        <v>40</v>
      </c>
      <c r="AC724" t="n">
        <v>42</v>
      </c>
      <c r="AD724" t="n">
        <v>1</v>
      </c>
      <c r="AE724" t="n">
        <v>1</v>
      </c>
      <c r="AF724" t="n">
        <v>1</v>
      </c>
      <c r="AG724" t="n">
        <v>1</v>
      </c>
      <c r="AH724" t="n">
        <v>0</v>
      </c>
      <c r="AI724" t="n">
        <v>0</v>
      </c>
      <c r="AJ724" t="n">
        <v>0</v>
      </c>
      <c r="AK724" t="n">
        <v>0</v>
      </c>
      <c r="AL724" t="n">
        <v>1</v>
      </c>
      <c r="AM724" t="n">
        <v>1</v>
      </c>
      <c r="AN724" t="n">
        <v>0</v>
      </c>
      <c r="AO724" t="n">
        <v>0</v>
      </c>
      <c r="AP724" t="n">
        <v>0</v>
      </c>
      <c r="AQ724" t="n">
        <v>0</v>
      </c>
      <c r="AR724" t="inlineStr">
        <is>
          <t>No</t>
        </is>
      </c>
      <c r="AS724" t="inlineStr">
        <is>
          <t>Yes</t>
        </is>
      </c>
      <c r="AT724">
        <f>HYPERLINK("http://catalog.hathitrust.org/Record/010662567","HathiTrust Record")</f>
        <v/>
      </c>
      <c r="AU724">
        <f>HYPERLINK("https://creighton-primo.hosted.exlibrisgroup.com/primo-explore/search?tab=default_tab&amp;search_scope=EVERYTHING&amp;vid=01CRU&amp;lang=en_US&amp;offset=0&amp;query=any,contains,991000379699702656","Catalog Record")</f>
        <v/>
      </c>
      <c r="AV724">
        <f>HYPERLINK("http://www.worldcat.org/oclc/45404300","WorldCat Record")</f>
        <v/>
      </c>
      <c r="AW724" t="inlineStr">
        <is>
          <t>34562527:eng</t>
        </is>
      </c>
      <c r="AX724" t="inlineStr">
        <is>
          <t>45404300</t>
        </is>
      </c>
      <c r="AY724" t="inlineStr">
        <is>
          <t>991000379699702656</t>
        </is>
      </c>
      <c r="AZ724" t="inlineStr">
        <is>
          <t>991000379699702656</t>
        </is>
      </c>
      <c r="BA724" t="inlineStr">
        <is>
          <t>2265235550002656</t>
        </is>
      </c>
      <c r="BB724" t="inlineStr">
        <is>
          <t>BOOK</t>
        </is>
      </c>
      <c r="BD724" t="inlineStr">
        <is>
          <t>9781579470807</t>
        </is>
      </c>
      <c r="BE724" t="inlineStr">
        <is>
          <t>30001004840098</t>
        </is>
      </c>
      <c r="BF724" t="inlineStr">
        <is>
          <t>893629183</t>
        </is>
      </c>
    </row>
    <row r="725">
      <c r="A725" t="inlineStr">
        <is>
          <t>No</t>
        </is>
      </c>
      <c r="B725" t="inlineStr">
        <is>
          <t>CUHSL</t>
        </is>
      </c>
      <c r="C725" t="inlineStr">
        <is>
          <t>SHELVES</t>
        </is>
      </c>
      <c r="D725" t="inlineStr">
        <is>
          <t>W 80 R431m 1980</t>
        </is>
      </c>
      <c r="E725" t="inlineStr">
        <is>
          <t>0                      W  0080000R  431m        1980</t>
        </is>
      </c>
      <c r="F725" t="inlineStr">
        <is>
          <t>The medical office : organization and management / Elaine M. Reschke.</t>
        </is>
      </c>
      <c r="H725" t="inlineStr">
        <is>
          <t>No</t>
        </is>
      </c>
      <c r="I725" t="inlineStr">
        <is>
          <t>1</t>
        </is>
      </c>
      <c r="J725" t="inlineStr">
        <is>
          <t>No</t>
        </is>
      </c>
      <c r="K725" t="inlineStr">
        <is>
          <t>No</t>
        </is>
      </c>
      <c r="L725" t="inlineStr">
        <is>
          <t>0</t>
        </is>
      </c>
      <c r="M725" t="inlineStr">
        <is>
          <t>Reschke, Elaine M., 1931-</t>
        </is>
      </c>
      <c r="N725" t="inlineStr">
        <is>
          <t>Hagerstown, Md. : Harper &amp; Row, 1980.</t>
        </is>
      </c>
      <c r="O725" t="inlineStr">
        <is>
          <t>1980</t>
        </is>
      </c>
      <c r="P725" t="inlineStr">
        <is>
          <t>2d ed.</t>
        </is>
      </c>
      <c r="Q725" t="inlineStr">
        <is>
          <t>eng</t>
        </is>
      </c>
      <c r="R725" t="inlineStr">
        <is>
          <t>xxu</t>
        </is>
      </c>
      <c r="T725" t="inlineStr">
        <is>
          <t xml:space="preserve">W  </t>
        </is>
      </c>
      <c r="U725" t="n">
        <v>3</v>
      </c>
      <c r="V725" t="n">
        <v>3</v>
      </c>
      <c r="W725" t="inlineStr">
        <is>
          <t>1989-07-07</t>
        </is>
      </c>
      <c r="X725" t="inlineStr">
        <is>
          <t>1989-07-07</t>
        </is>
      </c>
      <c r="Y725" t="inlineStr">
        <is>
          <t>1987-12-21</t>
        </is>
      </c>
      <c r="Z725" t="inlineStr">
        <is>
          <t>1987-12-21</t>
        </is>
      </c>
      <c r="AA725" t="n">
        <v>63</v>
      </c>
      <c r="AB725" t="n">
        <v>57</v>
      </c>
      <c r="AC725" t="n">
        <v>106</v>
      </c>
      <c r="AD725" t="n">
        <v>1</v>
      </c>
      <c r="AE725" t="n">
        <v>1</v>
      </c>
      <c r="AF725" t="n">
        <v>0</v>
      </c>
      <c r="AG725" t="n">
        <v>0</v>
      </c>
      <c r="AH725" t="n">
        <v>0</v>
      </c>
      <c r="AI725" t="n">
        <v>0</v>
      </c>
      <c r="AJ725" t="n">
        <v>0</v>
      </c>
      <c r="AK725" t="n">
        <v>0</v>
      </c>
      <c r="AL725" t="n">
        <v>0</v>
      </c>
      <c r="AM725" t="n">
        <v>0</v>
      </c>
      <c r="AN725" t="n">
        <v>0</v>
      </c>
      <c r="AO725" t="n">
        <v>0</v>
      </c>
      <c r="AP725" t="n">
        <v>0</v>
      </c>
      <c r="AQ725" t="n">
        <v>0</v>
      </c>
      <c r="AR725" t="inlineStr">
        <is>
          <t>No</t>
        </is>
      </c>
      <c r="AS725" t="inlineStr">
        <is>
          <t>No</t>
        </is>
      </c>
      <c r="AU725">
        <f>HYPERLINK("https://creighton-primo.hosted.exlibrisgroup.com/primo-explore/search?tab=default_tab&amp;search_scope=EVERYTHING&amp;vid=01CRU&amp;lang=en_US&amp;offset=0&amp;query=any,contains,991000655079702656","Catalog Record")</f>
        <v/>
      </c>
      <c r="AV725">
        <f>HYPERLINK("http://www.worldcat.org/oclc/6379013","WorldCat Record")</f>
        <v/>
      </c>
      <c r="AW725" t="inlineStr">
        <is>
          <t>2067552:eng</t>
        </is>
      </c>
      <c r="AX725" t="inlineStr">
        <is>
          <t>6379013</t>
        </is>
      </c>
      <c r="AY725" t="inlineStr">
        <is>
          <t>991000655079702656</t>
        </is>
      </c>
      <c r="AZ725" t="inlineStr">
        <is>
          <t>991000655079702656</t>
        </is>
      </c>
      <c r="BA725" t="inlineStr">
        <is>
          <t>2267897730002656</t>
        </is>
      </c>
      <c r="BB725" t="inlineStr">
        <is>
          <t>BOOK</t>
        </is>
      </c>
      <c r="BE725" t="inlineStr">
        <is>
          <t>30001000687758</t>
        </is>
      </c>
      <c r="BF725" t="inlineStr">
        <is>
          <t>893730851</t>
        </is>
      </c>
    </row>
    <row r="726">
      <c r="A726" t="inlineStr">
        <is>
          <t>No</t>
        </is>
      </c>
      <c r="B726" t="inlineStr">
        <is>
          <t>CUHSL</t>
        </is>
      </c>
      <c r="C726" t="inlineStr">
        <is>
          <t>SHELVES</t>
        </is>
      </c>
      <c r="D726" t="inlineStr">
        <is>
          <t>W 80 S313s 1988</t>
        </is>
      </c>
      <c r="E726" t="inlineStr">
        <is>
          <t>0                      W  0080000S  313s        1988</t>
        </is>
      </c>
      <c r="F726" t="inlineStr">
        <is>
          <t>Selling or buying a medical practice / Gary R. Schaub.</t>
        </is>
      </c>
      <c r="H726" t="inlineStr">
        <is>
          <t>No</t>
        </is>
      </c>
      <c r="I726" t="inlineStr">
        <is>
          <t>1</t>
        </is>
      </c>
      <c r="J726" t="inlineStr">
        <is>
          <t>No</t>
        </is>
      </c>
      <c r="K726" t="inlineStr">
        <is>
          <t>No</t>
        </is>
      </c>
      <c r="L726" t="inlineStr">
        <is>
          <t>0</t>
        </is>
      </c>
      <c r="M726" t="inlineStr">
        <is>
          <t>Schaub, Gary R.</t>
        </is>
      </c>
      <c r="N726" t="inlineStr">
        <is>
          <t>Oradell, N.J. : Medical Economics Books, c1988.</t>
        </is>
      </c>
      <c r="O726" t="inlineStr">
        <is>
          <t>1988</t>
        </is>
      </c>
      <c r="Q726" t="inlineStr">
        <is>
          <t>eng</t>
        </is>
      </c>
      <c r="R726" t="inlineStr">
        <is>
          <t>xxu</t>
        </is>
      </c>
      <c r="T726" t="inlineStr">
        <is>
          <t xml:space="preserve">W  </t>
        </is>
      </c>
      <c r="U726" t="n">
        <v>14</v>
      </c>
      <c r="V726" t="n">
        <v>14</v>
      </c>
      <c r="W726" t="inlineStr">
        <is>
          <t>2007-11-28</t>
        </is>
      </c>
      <c r="X726" t="inlineStr">
        <is>
          <t>2007-11-28</t>
        </is>
      </c>
      <c r="Y726" t="inlineStr">
        <is>
          <t>1989-07-14</t>
        </is>
      </c>
      <c r="Z726" t="inlineStr">
        <is>
          <t>1989-07-14</t>
        </is>
      </c>
      <c r="AA726" t="n">
        <v>67</v>
      </c>
      <c r="AB726" t="n">
        <v>61</v>
      </c>
      <c r="AC726" t="n">
        <v>61</v>
      </c>
      <c r="AD726" t="n">
        <v>1</v>
      </c>
      <c r="AE726" t="n">
        <v>1</v>
      </c>
      <c r="AF726" t="n">
        <v>2</v>
      </c>
      <c r="AG726" t="n">
        <v>2</v>
      </c>
      <c r="AH726" t="n">
        <v>0</v>
      </c>
      <c r="AI726" t="n">
        <v>0</v>
      </c>
      <c r="AJ726" t="n">
        <v>0</v>
      </c>
      <c r="AK726" t="n">
        <v>0</v>
      </c>
      <c r="AL726" t="n">
        <v>0</v>
      </c>
      <c r="AM726" t="n">
        <v>0</v>
      </c>
      <c r="AN726" t="n">
        <v>0</v>
      </c>
      <c r="AO726" t="n">
        <v>0</v>
      </c>
      <c r="AP726" t="n">
        <v>2</v>
      </c>
      <c r="AQ726" t="n">
        <v>2</v>
      </c>
      <c r="AR726" t="inlineStr">
        <is>
          <t>No</t>
        </is>
      </c>
      <c r="AS726" t="inlineStr">
        <is>
          <t>No</t>
        </is>
      </c>
      <c r="AU726">
        <f>HYPERLINK("https://creighton-primo.hosted.exlibrisgroup.com/primo-explore/search?tab=default_tab&amp;search_scope=EVERYTHING&amp;vid=01CRU&amp;lang=en_US&amp;offset=0&amp;query=any,contains,991001311079702656","Catalog Record")</f>
        <v/>
      </c>
      <c r="AV726">
        <f>HYPERLINK("http://www.worldcat.org/oclc/18191844","WorldCat Record")</f>
        <v/>
      </c>
      <c r="AW726" t="inlineStr">
        <is>
          <t>17099001:eng</t>
        </is>
      </c>
      <c r="AX726" t="inlineStr">
        <is>
          <t>18191844</t>
        </is>
      </c>
      <c r="AY726" t="inlineStr">
        <is>
          <t>991001311079702656</t>
        </is>
      </c>
      <c r="AZ726" t="inlineStr">
        <is>
          <t>991001311079702656</t>
        </is>
      </c>
      <c r="BA726" t="inlineStr">
        <is>
          <t>2265368540002656</t>
        </is>
      </c>
      <c r="BB726" t="inlineStr">
        <is>
          <t>BOOK</t>
        </is>
      </c>
      <c r="BD726" t="inlineStr">
        <is>
          <t>9780874894875</t>
        </is>
      </c>
      <c r="BE726" t="inlineStr">
        <is>
          <t>30001001750845</t>
        </is>
      </c>
      <c r="BF726" t="inlineStr">
        <is>
          <t>893363954</t>
        </is>
      </c>
    </row>
    <row r="727">
      <c r="A727" t="inlineStr">
        <is>
          <t>No</t>
        </is>
      </c>
      <c r="B727" t="inlineStr">
        <is>
          <t>CUHSL</t>
        </is>
      </c>
      <c r="C727" t="inlineStr">
        <is>
          <t>SHELVES</t>
        </is>
      </c>
      <c r="D727" t="inlineStr">
        <is>
          <t>W 80 T258a 2000</t>
        </is>
      </c>
      <c r="E727" t="inlineStr">
        <is>
          <t>0                      W  0080000T  258a        2000</t>
        </is>
      </c>
      <c r="F727" t="inlineStr">
        <is>
          <t>Assessing and improving billing and collections / prepared for the American Medical Association ; Cam McClellan Teems ; the Coker Group.</t>
        </is>
      </c>
      <c r="H727" t="inlineStr">
        <is>
          <t>No</t>
        </is>
      </c>
      <c r="I727" t="inlineStr">
        <is>
          <t>1</t>
        </is>
      </c>
      <c r="J727" t="inlineStr">
        <is>
          <t>No</t>
        </is>
      </c>
      <c r="K727" t="inlineStr">
        <is>
          <t>No</t>
        </is>
      </c>
      <c r="L727" t="inlineStr">
        <is>
          <t>0</t>
        </is>
      </c>
      <c r="M727" t="inlineStr">
        <is>
          <t>Teems, Cam McClellan.</t>
        </is>
      </c>
      <c r="N727" t="inlineStr">
        <is>
          <t>Chicago : AMA Press, c2000.</t>
        </is>
      </c>
      <c r="O727" t="inlineStr">
        <is>
          <t>2000</t>
        </is>
      </c>
      <c r="Q727" t="inlineStr">
        <is>
          <t>eng</t>
        </is>
      </c>
      <c r="R727" t="inlineStr">
        <is>
          <t>ilu</t>
        </is>
      </c>
      <c r="T727" t="inlineStr">
        <is>
          <t xml:space="preserve">W  </t>
        </is>
      </c>
      <c r="U727" t="n">
        <v>0</v>
      </c>
      <c r="V727" t="n">
        <v>0</v>
      </c>
      <c r="W727" t="inlineStr">
        <is>
          <t>2003-10-28</t>
        </is>
      </c>
      <c r="X727" t="inlineStr">
        <is>
          <t>2003-10-28</t>
        </is>
      </c>
      <c r="Y727" t="inlineStr">
        <is>
          <t>2003-10-17</t>
        </is>
      </c>
      <c r="Z727" t="inlineStr">
        <is>
          <t>2003-10-17</t>
        </is>
      </c>
      <c r="AA727" t="n">
        <v>30</v>
      </c>
      <c r="AB727" t="n">
        <v>30</v>
      </c>
      <c r="AC727" t="n">
        <v>32</v>
      </c>
      <c r="AD727" t="n">
        <v>1</v>
      </c>
      <c r="AE727" t="n">
        <v>1</v>
      </c>
      <c r="AF727" t="n">
        <v>1</v>
      </c>
      <c r="AG727" t="n">
        <v>1</v>
      </c>
      <c r="AH727" t="n">
        <v>0</v>
      </c>
      <c r="AI727" t="n">
        <v>0</v>
      </c>
      <c r="AJ727" t="n">
        <v>0</v>
      </c>
      <c r="AK727" t="n">
        <v>0</v>
      </c>
      <c r="AL727" t="n">
        <v>1</v>
      </c>
      <c r="AM727" t="n">
        <v>1</v>
      </c>
      <c r="AN727" t="n">
        <v>0</v>
      </c>
      <c r="AO727" t="n">
        <v>0</v>
      </c>
      <c r="AP727" t="n">
        <v>0</v>
      </c>
      <c r="AQ727" t="n">
        <v>0</v>
      </c>
      <c r="AR727" t="inlineStr">
        <is>
          <t>No</t>
        </is>
      </c>
      <c r="AS727" t="inlineStr">
        <is>
          <t>Yes</t>
        </is>
      </c>
      <c r="AT727">
        <f>HYPERLINK("http://catalog.hathitrust.org/Record/003607917","HathiTrust Record")</f>
        <v/>
      </c>
      <c r="AU727">
        <f>HYPERLINK("https://creighton-primo.hosted.exlibrisgroup.com/primo-explore/search?tab=default_tab&amp;search_scope=EVERYTHING&amp;vid=01CRU&amp;lang=en_US&amp;offset=0&amp;query=any,contains,991000358139702656","Catalog Record")</f>
        <v/>
      </c>
      <c r="AV727">
        <f>HYPERLINK("http://www.worldcat.org/oclc/45266022","WorldCat Record")</f>
        <v/>
      </c>
      <c r="AW727" t="inlineStr">
        <is>
          <t>34644247:eng</t>
        </is>
      </c>
      <c r="AX727" t="inlineStr">
        <is>
          <t>45266022</t>
        </is>
      </c>
      <c r="AY727" t="inlineStr">
        <is>
          <t>991000358139702656</t>
        </is>
      </c>
      <c r="AZ727" t="inlineStr">
        <is>
          <t>991000358139702656</t>
        </is>
      </c>
      <c r="BA727" t="inlineStr">
        <is>
          <t>2268557240002656</t>
        </is>
      </c>
      <c r="BB727" t="inlineStr">
        <is>
          <t>BOOK</t>
        </is>
      </c>
      <c r="BD727" t="inlineStr">
        <is>
          <t>9781579470784</t>
        </is>
      </c>
      <c r="BE727" t="inlineStr">
        <is>
          <t>30001004218071</t>
        </is>
      </c>
      <c r="BF727" t="inlineStr">
        <is>
          <t>893370408</t>
        </is>
      </c>
    </row>
    <row r="728">
      <c r="A728" t="inlineStr">
        <is>
          <t>No</t>
        </is>
      </c>
      <c r="B728" t="inlineStr">
        <is>
          <t>CUHSL</t>
        </is>
      </c>
      <c r="C728" t="inlineStr">
        <is>
          <t>SHELVES</t>
        </is>
      </c>
      <c r="D728" t="inlineStr">
        <is>
          <t>W80 W181i 2005</t>
        </is>
      </c>
      <c r="E728" t="inlineStr">
        <is>
          <t>0                      W  0080000W  181i        2005</t>
        </is>
      </c>
      <c r="F728" t="inlineStr">
        <is>
          <t>Implementing an electronic health record system / James M. Walker, Eric J. Bieber, Frank Richards, editors ; with the collaboration of Sandra A. Buckley.</t>
        </is>
      </c>
      <c r="H728" t="inlineStr">
        <is>
          <t>No</t>
        </is>
      </c>
      <c r="I728" t="inlineStr">
        <is>
          <t>1</t>
        </is>
      </c>
      <c r="J728" t="inlineStr">
        <is>
          <t>No</t>
        </is>
      </c>
      <c r="K728" t="inlineStr">
        <is>
          <t>No</t>
        </is>
      </c>
      <c r="L728" t="inlineStr">
        <is>
          <t>1</t>
        </is>
      </c>
      <c r="M728" t="inlineStr">
        <is>
          <t>Walker, James M., M.D.</t>
        </is>
      </c>
      <c r="N728" t="inlineStr">
        <is>
          <t>London : Springer, c2005.</t>
        </is>
      </c>
      <c r="O728" t="inlineStr">
        <is>
          <t>2005</t>
        </is>
      </c>
      <c r="Q728" t="inlineStr">
        <is>
          <t>eng</t>
        </is>
      </c>
      <c r="R728" t="inlineStr">
        <is>
          <t>enk</t>
        </is>
      </c>
      <c r="S728" t="inlineStr">
        <is>
          <t>Health informatics</t>
        </is>
      </c>
      <c r="T728" t="inlineStr">
        <is>
          <t xml:space="preserve">W  </t>
        </is>
      </c>
      <c r="U728" t="n">
        <v>4</v>
      </c>
      <c r="V728" t="n">
        <v>4</v>
      </c>
      <c r="W728" t="inlineStr">
        <is>
          <t>2008-05-03</t>
        </is>
      </c>
      <c r="X728" t="inlineStr">
        <is>
          <t>2008-05-03</t>
        </is>
      </c>
      <c r="Y728" t="inlineStr">
        <is>
          <t>2006-02-06</t>
        </is>
      </c>
      <c r="Z728" t="inlineStr">
        <is>
          <t>2006-02-06</t>
        </is>
      </c>
      <c r="AA728" t="n">
        <v>145</v>
      </c>
      <c r="AB728" t="n">
        <v>96</v>
      </c>
      <c r="AC728" t="n">
        <v>571</v>
      </c>
      <c r="AD728" t="n">
        <v>1</v>
      </c>
      <c r="AE728" t="n">
        <v>17</v>
      </c>
      <c r="AF728" t="n">
        <v>1</v>
      </c>
      <c r="AG728" t="n">
        <v>16</v>
      </c>
      <c r="AH728" t="n">
        <v>0</v>
      </c>
      <c r="AI728" t="n">
        <v>5</v>
      </c>
      <c r="AJ728" t="n">
        <v>0</v>
      </c>
      <c r="AK728" t="n">
        <v>1</v>
      </c>
      <c r="AL728" t="n">
        <v>1</v>
      </c>
      <c r="AM728" t="n">
        <v>5</v>
      </c>
      <c r="AN728" t="n">
        <v>0</v>
      </c>
      <c r="AO728" t="n">
        <v>8</v>
      </c>
      <c r="AP728" t="n">
        <v>0</v>
      </c>
      <c r="AQ728" t="n">
        <v>0</v>
      </c>
      <c r="AR728" t="inlineStr">
        <is>
          <t>No</t>
        </is>
      </c>
      <c r="AS728" t="inlineStr">
        <is>
          <t>No</t>
        </is>
      </c>
      <c r="AU728">
        <f>HYPERLINK("https://creighton-primo.hosted.exlibrisgroup.com/primo-explore/search?tab=default_tab&amp;search_scope=EVERYTHING&amp;vid=01CRU&amp;lang=en_US&amp;offset=0&amp;query=any,contains,991000462499702656","Catalog Record")</f>
        <v/>
      </c>
      <c r="AV728">
        <f>HYPERLINK("http://www.worldcat.org/oclc/55067876","WorldCat Record")</f>
        <v/>
      </c>
      <c r="AW728" t="inlineStr">
        <is>
          <t>860489722:eng</t>
        </is>
      </c>
      <c r="AX728" t="inlineStr">
        <is>
          <t>55067876</t>
        </is>
      </c>
      <c r="AY728" t="inlineStr">
        <is>
          <t>991000462499702656</t>
        </is>
      </c>
      <c r="AZ728" t="inlineStr">
        <is>
          <t>991000462499702656</t>
        </is>
      </c>
      <c r="BA728" t="inlineStr">
        <is>
          <t>2264975130002656</t>
        </is>
      </c>
      <c r="BB728" t="inlineStr">
        <is>
          <t>BOOK</t>
        </is>
      </c>
      <c r="BD728" t="inlineStr">
        <is>
          <t>9781852338268</t>
        </is>
      </c>
      <c r="BE728" t="inlineStr">
        <is>
          <t>30001004913333</t>
        </is>
      </c>
      <c r="BF728" t="inlineStr">
        <is>
          <t>893275060</t>
        </is>
      </c>
    </row>
    <row r="729">
      <c r="A729" t="inlineStr">
        <is>
          <t>No</t>
        </is>
      </c>
      <c r="B729" t="inlineStr">
        <is>
          <t>CUHSL</t>
        </is>
      </c>
      <c r="C729" t="inlineStr">
        <is>
          <t>SHELVES</t>
        </is>
      </c>
      <c r="D729" t="inlineStr">
        <is>
          <t>W 80 Y68k 2007</t>
        </is>
      </c>
      <c r="E729" t="inlineStr">
        <is>
          <t>0                      W  0080000Y  68k         2007</t>
        </is>
      </c>
      <c r="F729" t="inlineStr">
        <is>
          <t>Kinn's the administrative medical assistant : an applied learning approach / Alexandra Patricia Young.</t>
        </is>
      </c>
      <c r="H729" t="inlineStr">
        <is>
          <t>No</t>
        </is>
      </c>
      <c r="I729" t="inlineStr">
        <is>
          <t>1</t>
        </is>
      </c>
      <c r="J729" t="inlineStr">
        <is>
          <t>No</t>
        </is>
      </c>
      <c r="K729" t="inlineStr">
        <is>
          <t>Yes</t>
        </is>
      </c>
      <c r="L729" t="inlineStr">
        <is>
          <t>0</t>
        </is>
      </c>
      <c r="M729" t="inlineStr">
        <is>
          <t>Young-Adams, Alexandra Patricia.</t>
        </is>
      </c>
      <c r="N729" t="inlineStr">
        <is>
          <t>St. Louis, Mo. : Saunders Elsevier, c2007.</t>
        </is>
      </c>
      <c r="O729" t="inlineStr">
        <is>
          <t>2007</t>
        </is>
      </c>
      <c r="P729" t="inlineStr">
        <is>
          <t>6th ed.</t>
        </is>
      </c>
      <c r="Q729" t="inlineStr">
        <is>
          <t>eng</t>
        </is>
      </c>
      <c r="R729" t="inlineStr">
        <is>
          <t>mou</t>
        </is>
      </c>
      <c r="T729" t="inlineStr">
        <is>
          <t xml:space="preserve">W  </t>
        </is>
      </c>
      <c r="U729" t="n">
        <v>0</v>
      </c>
      <c r="V729" t="n">
        <v>0</v>
      </c>
      <c r="W729" t="inlineStr">
        <is>
          <t>2008-08-15</t>
        </is>
      </c>
      <c r="X729" t="inlineStr">
        <is>
          <t>2008-08-15</t>
        </is>
      </c>
      <c r="Y729" t="inlineStr">
        <is>
          <t>2008-08-14</t>
        </is>
      </c>
      <c r="Z729" t="inlineStr">
        <is>
          <t>2008-08-14</t>
        </is>
      </c>
      <c r="AA729" t="n">
        <v>58</v>
      </c>
      <c r="AB729" t="n">
        <v>43</v>
      </c>
      <c r="AC729" t="n">
        <v>182</v>
      </c>
      <c r="AD729" t="n">
        <v>1</v>
      </c>
      <c r="AE729" t="n">
        <v>1</v>
      </c>
      <c r="AF729" t="n">
        <v>0</v>
      </c>
      <c r="AG729" t="n">
        <v>0</v>
      </c>
      <c r="AH729" t="n">
        <v>0</v>
      </c>
      <c r="AI729" t="n">
        <v>0</v>
      </c>
      <c r="AJ729" t="n">
        <v>0</v>
      </c>
      <c r="AK729" t="n">
        <v>0</v>
      </c>
      <c r="AL729" t="n">
        <v>0</v>
      </c>
      <c r="AM729" t="n">
        <v>0</v>
      </c>
      <c r="AN729" t="n">
        <v>0</v>
      </c>
      <c r="AO729" t="n">
        <v>0</v>
      </c>
      <c r="AP729" t="n">
        <v>0</v>
      </c>
      <c r="AQ729" t="n">
        <v>0</v>
      </c>
      <c r="AR729" t="inlineStr">
        <is>
          <t>No</t>
        </is>
      </c>
      <c r="AS729" t="inlineStr">
        <is>
          <t>No</t>
        </is>
      </c>
      <c r="AU729">
        <f>HYPERLINK("https://creighton-primo.hosted.exlibrisgroup.com/primo-explore/search?tab=default_tab&amp;search_scope=EVERYTHING&amp;vid=01CRU&amp;lang=en_US&amp;offset=0&amp;query=any,contains,991000909029702656","Catalog Record")</f>
        <v/>
      </c>
      <c r="AV729">
        <f>HYPERLINK("http://www.worldcat.org/oclc/182912811","WorldCat Record")</f>
        <v/>
      </c>
      <c r="AW729" t="inlineStr">
        <is>
          <t>3856125987:eng</t>
        </is>
      </c>
      <c r="AX729" t="inlineStr">
        <is>
          <t>182912811</t>
        </is>
      </c>
      <c r="AY729" t="inlineStr">
        <is>
          <t>991000909029702656</t>
        </is>
      </c>
      <c r="AZ729" t="inlineStr">
        <is>
          <t>991000909029702656</t>
        </is>
      </c>
      <c r="BA729" t="inlineStr">
        <is>
          <t>2269940460002656</t>
        </is>
      </c>
      <c r="BB729" t="inlineStr">
        <is>
          <t>BOOK</t>
        </is>
      </c>
      <c r="BD729" t="inlineStr">
        <is>
          <t>9781416032014</t>
        </is>
      </c>
      <c r="BE729" t="inlineStr">
        <is>
          <t>30001005294337</t>
        </is>
      </c>
      <c r="BF729" t="inlineStr">
        <is>
          <t>893161461</t>
        </is>
      </c>
    </row>
    <row r="730">
      <c r="A730" t="inlineStr">
        <is>
          <t>No</t>
        </is>
      </c>
      <c r="B730" t="inlineStr">
        <is>
          <t>CUHSL</t>
        </is>
      </c>
      <c r="C730" t="inlineStr">
        <is>
          <t>SHELVES</t>
        </is>
      </c>
      <c r="D730" t="inlineStr">
        <is>
          <t>W82 E14i 2007</t>
        </is>
      </c>
      <c r="E730" t="inlineStr">
        <is>
          <t>0                      W  0082000E  14i         2007</t>
        </is>
      </c>
      <c r="F730" t="inlineStr">
        <is>
          <t>Innovation in medical technology : ethical issues and challenges / Margaret L. Eaton and Donald Kennedy.</t>
        </is>
      </c>
      <c r="H730" t="inlineStr">
        <is>
          <t>No</t>
        </is>
      </c>
      <c r="I730" t="inlineStr">
        <is>
          <t>1</t>
        </is>
      </c>
      <c r="J730" t="inlineStr">
        <is>
          <t>No</t>
        </is>
      </c>
      <c r="K730" t="inlineStr">
        <is>
          <t>No</t>
        </is>
      </c>
      <c r="L730" t="inlineStr">
        <is>
          <t>1</t>
        </is>
      </c>
      <c r="M730" t="inlineStr">
        <is>
          <t>Eaton, Margaret L.</t>
        </is>
      </c>
      <c r="N730" t="inlineStr">
        <is>
          <t>Baltimore : Johns Hopkins University Press, 2007.</t>
        </is>
      </c>
      <c r="O730" t="inlineStr">
        <is>
          <t>2007</t>
        </is>
      </c>
      <c r="Q730" t="inlineStr">
        <is>
          <t>eng</t>
        </is>
      </c>
      <c r="R730" t="inlineStr">
        <is>
          <t>mdu</t>
        </is>
      </c>
      <c r="T730" t="inlineStr">
        <is>
          <t xml:space="preserve">W  </t>
        </is>
      </c>
      <c r="U730" t="n">
        <v>1</v>
      </c>
      <c r="V730" t="n">
        <v>1</v>
      </c>
      <c r="W730" t="inlineStr">
        <is>
          <t>2008-05-30</t>
        </is>
      </c>
      <c r="X730" t="inlineStr">
        <is>
          <t>2008-05-30</t>
        </is>
      </c>
      <c r="Y730" t="inlineStr">
        <is>
          <t>2007-11-08</t>
        </is>
      </c>
      <c r="Z730" t="inlineStr">
        <is>
          <t>2007-11-08</t>
        </is>
      </c>
      <c r="AA730" t="n">
        <v>383</v>
      </c>
      <c r="AB730" t="n">
        <v>330</v>
      </c>
      <c r="AC730" t="n">
        <v>1162</v>
      </c>
      <c r="AD730" t="n">
        <v>1</v>
      </c>
      <c r="AE730" t="n">
        <v>13</v>
      </c>
      <c r="AF730" t="n">
        <v>18</v>
      </c>
      <c r="AG730" t="n">
        <v>51</v>
      </c>
      <c r="AH730" t="n">
        <v>8</v>
      </c>
      <c r="AI730" t="n">
        <v>16</v>
      </c>
      <c r="AJ730" t="n">
        <v>4</v>
      </c>
      <c r="AK730" t="n">
        <v>11</v>
      </c>
      <c r="AL730" t="n">
        <v>7</v>
      </c>
      <c r="AM730" t="n">
        <v>18</v>
      </c>
      <c r="AN730" t="n">
        <v>0</v>
      </c>
      <c r="AO730" t="n">
        <v>11</v>
      </c>
      <c r="AP730" t="n">
        <v>2</v>
      </c>
      <c r="AQ730" t="n">
        <v>4</v>
      </c>
      <c r="AR730" t="inlineStr">
        <is>
          <t>No</t>
        </is>
      </c>
      <c r="AS730" t="inlineStr">
        <is>
          <t>No</t>
        </is>
      </c>
      <c r="AU730">
        <f>HYPERLINK("https://creighton-primo.hosted.exlibrisgroup.com/primo-explore/search?tab=default_tab&amp;search_scope=EVERYTHING&amp;vid=01CRU&amp;lang=en_US&amp;offset=0&amp;query=any,contains,991000658609702656","Catalog Record")</f>
        <v/>
      </c>
      <c r="AV730">
        <f>HYPERLINK("http://www.worldcat.org/oclc/70164452","WorldCat Record")</f>
        <v/>
      </c>
      <c r="AW730" t="inlineStr">
        <is>
          <t>800039959:eng</t>
        </is>
      </c>
      <c r="AX730" t="inlineStr">
        <is>
          <t>70164452</t>
        </is>
      </c>
      <c r="AY730" t="inlineStr">
        <is>
          <t>991000658609702656</t>
        </is>
      </c>
      <c r="AZ730" t="inlineStr">
        <is>
          <t>991000658609702656</t>
        </is>
      </c>
      <c r="BA730" t="inlineStr">
        <is>
          <t>2267139120002656</t>
        </is>
      </c>
      <c r="BB730" t="inlineStr">
        <is>
          <t>BOOK</t>
        </is>
      </c>
      <c r="BD730" t="inlineStr">
        <is>
          <t>9780801885266</t>
        </is>
      </c>
      <c r="BE730" t="inlineStr">
        <is>
          <t>30001005270360</t>
        </is>
      </c>
      <c r="BF730" t="inlineStr">
        <is>
          <t>893368141</t>
        </is>
      </c>
    </row>
    <row r="731">
      <c r="A731" t="inlineStr">
        <is>
          <t>No</t>
        </is>
      </c>
      <c r="B731" t="inlineStr">
        <is>
          <t>CUHSL</t>
        </is>
      </c>
      <c r="C731" t="inlineStr">
        <is>
          <t>SHELVES</t>
        </is>
      </c>
      <c r="D731" t="inlineStr">
        <is>
          <t>W83 AA1 T269 2002</t>
        </is>
      </c>
      <c r="E731" t="inlineStr">
        <is>
          <t>0                      W  0083000AA 1                  T  269         2002</t>
        </is>
      </c>
      <c r="F731" t="inlineStr">
        <is>
          <t>Telephone medicine : a guide for the practicing physician / [edited by] Anna B. Reisman, David L. Stevens.</t>
        </is>
      </c>
      <c r="H731" t="inlineStr">
        <is>
          <t>No</t>
        </is>
      </c>
      <c r="I731" t="inlineStr">
        <is>
          <t>1</t>
        </is>
      </c>
      <c r="J731" t="inlineStr">
        <is>
          <t>No</t>
        </is>
      </c>
      <c r="K731" t="inlineStr">
        <is>
          <t>No</t>
        </is>
      </c>
      <c r="L731" t="inlineStr">
        <is>
          <t>0</t>
        </is>
      </c>
      <c r="N731" t="inlineStr">
        <is>
          <t>Philadelphia : American College of Physicians, 2002.</t>
        </is>
      </c>
      <c r="O731" t="inlineStr">
        <is>
          <t>2001</t>
        </is>
      </c>
      <c r="Q731" t="inlineStr">
        <is>
          <t>eng</t>
        </is>
      </c>
      <c r="R731" t="inlineStr">
        <is>
          <t>pau</t>
        </is>
      </c>
      <c r="T731" t="inlineStr">
        <is>
          <t xml:space="preserve">W  </t>
        </is>
      </c>
      <c r="U731" t="n">
        <v>2</v>
      </c>
      <c r="V731" t="n">
        <v>2</v>
      </c>
      <c r="W731" t="inlineStr">
        <is>
          <t>2004-05-27</t>
        </is>
      </c>
      <c r="X731" t="inlineStr">
        <is>
          <t>2004-05-27</t>
        </is>
      </c>
      <c r="Y731" t="inlineStr">
        <is>
          <t>2002-06-17</t>
        </is>
      </c>
      <c r="Z731" t="inlineStr">
        <is>
          <t>2002-06-17</t>
        </is>
      </c>
      <c r="AA731" t="n">
        <v>100</v>
      </c>
      <c r="AB731" t="n">
        <v>86</v>
      </c>
      <c r="AC731" t="n">
        <v>98</v>
      </c>
      <c r="AD731" t="n">
        <v>1</v>
      </c>
      <c r="AE731" t="n">
        <v>1</v>
      </c>
      <c r="AF731" t="n">
        <v>2</v>
      </c>
      <c r="AG731" t="n">
        <v>2</v>
      </c>
      <c r="AH731" t="n">
        <v>1</v>
      </c>
      <c r="AI731" t="n">
        <v>1</v>
      </c>
      <c r="AJ731" t="n">
        <v>1</v>
      </c>
      <c r="AK731" t="n">
        <v>1</v>
      </c>
      <c r="AL731" t="n">
        <v>0</v>
      </c>
      <c r="AM731" t="n">
        <v>0</v>
      </c>
      <c r="AN731" t="n">
        <v>0</v>
      </c>
      <c r="AO731" t="n">
        <v>0</v>
      </c>
      <c r="AP731" t="n">
        <v>0</v>
      </c>
      <c r="AQ731" t="n">
        <v>0</v>
      </c>
      <c r="AR731" t="inlineStr">
        <is>
          <t>No</t>
        </is>
      </c>
      <c r="AS731" t="inlineStr">
        <is>
          <t>Yes</t>
        </is>
      </c>
      <c r="AT731">
        <f>HYPERLINK("http://catalog.hathitrust.org/Record/003594311","HathiTrust Record")</f>
        <v/>
      </c>
      <c r="AU731">
        <f>HYPERLINK("https://creighton-primo.hosted.exlibrisgroup.com/primo-explore/search?tab=default_tab&amp;search_scope=EVERYTHING&amp;vid=01CRU&amp;lang=en_US&amp;offset=0&amp;query=any,contains,991000316199702656","Catalog Record")</f>
        <v/>
      </c>
      <c r="AV731">
        <f>HYPERLINK("http://www.worldcat.org/oclc/45618952","WorldCat Record")</f>
        <v/>
      </c>
      <c r="AW731" t="inlineStr">
        <is>
          <t>364632538:eng</t>
        </is>
      </c>
      <c r="AX731" t="inlineStr">
        <is>
          <t>45618952</t>
        </is>
      </c>
      <c r="AY731" t="inlineStr">
        <is>
          <t>991000316199702656</t>
        </is>
      </c>
      <c r="AZ731" t="inlineStr">
        <is>
          <t>991000316199702656</t>
        </is>
      </c>
      <c r="BA731" t="inlineStr">
        <is>
          <t>2255847120002656</t>
        </is>
      </c>
      <c r="BB731" t="inlineStr">
        <is>
          <t>BOOK</t>
        </is>
      </c>
      <c r="BD731" t="inlineStr">
        <is>
          <t>9780943126876</t>
        </is>
      </c>
      <c r="BE731" t="inlineStr">
        <is>
          <t>30001004239424</t>
        </is>
      </c>
      <c r="BF731" t="inlineStr">
        <is>
          <t>893456553</t>
        </is>
      </c>
    </row>
    <row r="732">
      <c r="A732" t="inlineStr">
        <is>
          <t>No</t>
        </is>
      </c>
      <c r="B732" t="inlineStr">
        <is>
          <t>CUHSL</t>
        </is>
      </c>
      <c r="C732" t="inlineStr">
        <is>
          <t>SHELVES</t>
        </is>
      </c>
      <c r="D732" t="inlineStr">
        <is>
          <t>W 84 AA1 A235 2003</t>
        </is>
      </c>
      <c r="E732" t="inlineStr">
        <is>
          <t>0                      W  0084000AA 1                  A  235         2003</t>
        </is>
      </c>
      <c r="F732" t="inlineStr">
        <is>
          <t>Advances in health care organization theory / Stephen S. Mick, Mindy E. Wyttenbach, editors.</t>
        </is>
      </c>
      <c r="H732" t="inlineStr">
        <is>
          <t>No</t>
        </is>
      </c>
      <c r="I732" t="inlineStr">
        <is>
          <t>1</t>
        </is>
      </c>
      <c r="J732" t="inlineStr">
        <is>
          <t>No</t>
        </is>
      </c>
      <c r="K732" t="inlineStr">
        <is>
          <t>No</t>
        </is>
      </c>
      <c r="L732" t="inlineStr">
        <is>
          <t>0</t>
        </is>
      </c>
      <c r="N732" t="inlineStr">
        <is>
          <t>San Francisco, Calif. : Jossey-Bass, 2003.</t>
        </is>
      </c>
      <c r="O732" t="inlineStr">
        <is>
          <t>2003</t>
        </is>
      </c>
      <c r="P732" t="inlineStr">
        <is>
          <t>1st ed.</t>
        </is>
      </c>
      <c r="Q732" t="inlineStr">
        <is>
          <t>eng</t>
        </is>
      </c>
      <c r="R732" t="inlineStr">
        <is>
          <t>cau</t>
        </is>
      </c>
      <c r="T732" t="inlineStr">
        <is>
          <t xml:space="preserve">W  </t>
        </is>
      </c>
      <c r="U732" t="n">
        <v>2</v>
      </c>
      <c r="V732" t="n">
        <v>2</v>
      </c>
      <c r="W732" t="inlineStr">
        <is>
          <t>2006-02-28</t>
        </is>
      </c>
      <c r="X732" t="inlineStr">
        <is>
          <t>2006-02-28</t>
        </is>
      </c>
      <c r="Y732" t="inlineStr">
        <is>
          <t>2003-10-17</t>
        </is>
      </c>
      <c r="Z732" t="inlineStr">
        <is>
          <t>2003-10-17</t>
        </is>
      </c>
      <c r="AA732" t="n">
        <v>238</v>
      </c>
      <c r="AB732" t="n">
        <v>196</v>
      </c>
      <c r="AC732" t="n">
        <v>632</v>
      </c>
      <c r="AD732" t="n">
        <v>1</v>
      </c>
      <c r="AE732" t="n">
        <v>5</v>
      </c>
      <c r="AF732" t="n">
        <v>8</v>
      </c>
      <c r="AG732" t="n">
        <v>29</v>
      </c>
      <c r="AH732" t="n">
        <v>3</v>
      </c>
      <c r="AI732" t="n">
        <v>10</v>
      </c>
      <c r="AJ732" t="n">
        <v>2</v>
      </c>
      <c r="AK732" t="n">
        <v>8</v>
      </c>
      <c r="AL732" t="n">
        <v>7</v>
      </c>
      <c r="AM732" t="n">
        <v>13</v>
      </c>
      <c r="AN732" t="n">
        <v>0</v>
      </c>
      <c r="AO732" t="n">
        <v>4</v>
      </c>
      <c r="AP732" t="n">
        <v>0</v>
      </c>
      <c r="AQ732" t="n">
        <v>1</v>
      </c>
      <c r="AR732" t="inlineStr">
        <is>
          <t>No</t>
        </is>
      </c>
      <c r="AS732" t="inlineStr">
        <is>
          <t>No</t>
        </is>
      </c>
      <c r="AU732">
        <f>HYPERLINK("https://creighton-primo.hosted.exlibrisgroup.com/primo-explore/search?tab=default_tab&amp;search_scope=EVERYTHING&amp;vid=01CRU&amp;lang=en_US&amp;offset=0&amp;query=any,contains,991000358829702656","Catalog Record")</f>
        <v/>
      </c>
      <c r="AV732">
        <f>HYPERLINK("http://www.worldcat.org/oclc/51172043","WorldCat Record")</f>
        <v/>
      </c>
      <c r="AW732" t="inlineStr">
        <is>
          <t>351682224:eng</t>
        </is>
      </c>
      <c r="AX732" t="inlineStr">
        <is>
          <t>51172043</t>
        </is>
      </c>
      <c r="AY732" t="inlineStr">
        <is>
          <t>991000358829702656</t>
        </is>
      </c>
      <c r="AZ732" t="inlineStr">
        <is>
          <t>991000358829702656</t>
        </is>
      </c>
      <c r="BA732" t="inlineStr">
        <is>
          <t>2263364260002656</t>
        </is>
      </c>
      <c r="BB732" t="inlineStr">
        <is>
          <t>BOOK</t>
        </is>
      </c>
      <c r="BD732" t="inlineStr">
        <is>
          <t>9780787957643</t>
        </is>
      </c>
      <c r="BE732" t="inlineStr">
        <is>
          <t>30001004218048</t>
        </is>
      </c>
      <c r="BF732" t="inlineStr">
        <is>
          <t>893354245</t>
        </is>
      </c>
    </row>
    <row r="733">
      <c r="A733" t="inlineStr">
        <is>
          <t>No</t>
        </is>
      </c>
      <c r="B733" t="inlineStr">
        <is>
          <t>CUHSL</t>
        </is>
      </c>
      <c r="C733" t="inlineStr">
        <is>
          <t>SHELVES</t>
        </is>
      </c>
      <c r="D733" t="inlineStr">
        <is>
          <t>W 84 AA1 A39L 1988</t>
        </is>
      </c>
      <c r="E733" t="inlineStr">
        <is>
          <t>0                      W  0084000AA 1                  A  39L         1988</t>
        </is>
      </c>
      <c r="F733" t="inlineStr">
        <is>
          <t>Looking ahead at American health care / Roy Amara, J. Ian Morrison, Gregory Schmid.</t>
        </is>
      </c>
      <c r="H733" t="inlineStr">
        <is>
          <t>No</t>
        </is>
      </c>
      <c r="I733" t="inlineStr">
        <is>
          <t>1</t>
        </is>
      </c>
      <c r="J733" t="inlineStr">
        <is>
          <t>No</t>
        </is>
      </c>
      <c r="K733" t="inlineStr">
        <is>
          <t>No</t>
        </is>
      </c>
      <c r="L733" t="inlineStr">
        <is>
          <t>0</t>
        </is>
      </c>
      <c r="M733" t="inlineStr">
        <is>
          <t>Amara, Roy.</t>
        </is>
      </c>
      <c r="N733" t="inlineStr">
        <is>
          <t>Washington, DC : McGraw Hill Book Co., Healthcare Information Center, c1988.</t>
        </is>
      </c>
      <c r="O733" t="inlineStr">
        <is>
          <t>1988</t>
        </is>
      </c>
      <c r="Q733" t="inlineStr">
        <is>
          <t>eng</t>
        </is>
      </c>
      <c r="R733" t="inlineStr">
        <is>
          <t>xxu</t>
        </is>
      </c>
      <c r="T733" t="inlineStr">
        <is>
          <t xml:space="preserve">W  </t>
        </is>
      </c>
      <c r="U733" t="n">
        <v>10</v>
      </c>
      <c r="V733" t="n">
        <v>10</v>
      </c>
      <c r="W733" t="inlineStr">
        <is>
          <t>1995-04-05</t>
        </is>
      </c>
      <c r="X733" t="inlineStr">
        <is>
          <t>1995-04-05</t>
        </is>
      </c>
      <c r="Y733" t="inlineStr">
        <is>
          <t>1989-05-19</t>
        </is>
      </c>
      <c r="Z733" t="inlineStr">
        <is>
          <t>1989-05-19</t>
        </is>
      </c>
      <c r="AA733" t="n">
        <v>138</v>
      </c>
      <c r="AB733" t="n">
        <v>129</v>
      </c>
      <c r="AC733" t="n">
        <v>129</v>
      </c>
      <c r="AD733" t="n">
        <v>1</v>
      </c>
      <c r="AE733" t="n">
        <v>1</v>
      </c>
      <c r="AF733" t="n">
        <v>4</v>
      </c>
      <c r="AG733" t="n">
        <v>4</v>
      </c>
      <c r="AH733" t="n">
        <v>1</v>
      </c>
      <c r="AI733" t="n">
        <v>1</v>
      </c>
      <c r="AJ733" t="n">
        <v>2</v>
      </c>
      <c r="AK733" t="n">
        <v>2</v>
      </c>
      <c r="AL733" t="n">
        <v>2</v>
      </c>
      <c r="AM733" t="n">
        <v>2</v>
      </c>
      <c r="AN733" t="n">
        <v>0</v>
      </c>
      <c r="AO733" t="n">
        <v>0</v>
      </c>
      <c r="AP733" t="n">
        <v>1</v>
      </c>
      <c r="AQ733" t="n">
        <v>1</v>
      </c>
      <c r="AR733" t="inlineStr">
        <is>
          <t>No</t>
        </is>
      </c>
      <c r="AS733" t="inlineStr">
        <is>
          <t>No</t>
        </is>
      </c>
      <c r="AU733">
        <f>HYPERLINK("https://creighton-primo.hosted.exlibrisgroup.com/primo-explore/search?tab=default_tab&amp;search_scope=EVERYTHING&amp;vid=01CRU&amp;lang=en_US&amp;offset=0&amp;query=any,contains,991001248669702656","Catalog Record")</f>
        <v/>
      </c>
      <c r="AV733">
        <f>HYPERLINK("http://www.worldcat.org/oclc/17621412","WorldCat Record")</f>
        <v/>
      </c>
      <c r="AW733" t="inlineStr">
        <is>
          <t>15745301:eng</t>
        </is>
      </c>
      <c r="AX733" t="inlineStr">
        <is>
          <t>17621412</t>
        </is>
      </c>
      <c r="AY733" t="inlineStr">
        <is>
          <t>991001248669702656</t>
        </is>
      </c>
      <c r="AZ733" t="inlineStr">
        <is>
          <t>991001248669702656</t>
        </is>
      </c>
      <c r="BA733" t="inlineStr">
        <is>
          <t>2259242930002656</t>
        </is>
      </c>
      <c r="BB733" t="inlineStr">
        <is>
          <t>BOOK</t>
        </is>
      </c>
      <c r="BD733" t="inlineStr">
        <is>
          <t>9780070013841</t>
        </is>
      </c>
      <c r="BE733" t="inlineStr">
        <is>
          <t>30001001678277</t>
        </is>
      </c>
      <c r="BF733" t="inlineStr">
        <is>
          <t>893278902</t>
        </is>
      </c>
    </row>
    <row r="734">
      <c r="A734" t="inlineStr">
        <is>
          <t>No</t>
        </is>
      </c>
      <c r="B734" t="inlineStr">
        <is>
          <t>CUHSL</t>
        </is>
      </c>
      <c r="C734" t="inlineStr">
        <is>
          <t>SHELVES</t>
        </is>
      </c>
      <c r="D734" t="inlineStr">
        <is>
          <t>W 84 AA1 A512n 1977</t>
        </is>
      </c>
      <c r="E734" t="inlineStr">
        <is>
          <t>0                      W  0084000AA 1                  A  512n        1977</t>
        </is>
      </c>
      <c r="F734" t="inlineStr">
        <is>
          <t>A national policy for health care : principles and positions / American Nurses' Association.</t>
        </is>
      </c>
      <c r="H734" t="inlineStr">
        <is>
          <t>No</t>
        </is>
      </c>
      <c r="I734" t="inlineStr">
        <is>
          <t>1</t>
        </is>
      </c>
      <c r="J734" t="inlineStr">
        <is>
          <t>No</t>
        </is>
      </c>
      <c r="K734" t="inlineStr">
        <is>
          <t>No</t>
        </is>
      </c>
      <c r="L734" t="inlineStr">
        <is>
          <t>0</t>
        </is>
      </c>
      <c r="N734" t="inlineStr">
        <is>
          <t>Kansas City, Mo. : The Association, c1977.</t>
        </is>
      </c>
      <c r="O734" t="inlineStr">
        <is>
          <t>1977</t>
        </is>
      </c>
      <c r="Q734" t="inlineStr">
        <is>
          <t>eng</t>
        </is>
      </c>
      <c r="R734" t="inlineStr">
        <is>
          <t>mou</t>
        </is>
      </c>
      <c r="S734" t="inlineStr">
        <is>
          <t>ANA pub ; no. G-130</t>
        </is>
      </c>
      <c r="T734" t="inlineStr">
        <is>
          <t xml:space="preserve">W  </t>
        </is>
      </c>
      <c r="U734" t="n">
        <v>2</v>
      </c>
      <c r="V734" t="n">
        <v>2</v>
      </c>
      <c r="W734" t="inlineStr">
        <is>
          <t>2002-06-03</t>
        </is>
      </c>
      <c r="X734" t="inlineStr">
        <is>
          <t>2002-06-03</t>
        </is>
      </c>
      <c r="Y734" t="inlineStr">
        <is>
          <t>2000-06-15</t>
        </is>
      </c>
      <c r="Z734" t="inlineStr">
        <is>
          <t>2000-06-15</t>
        </is>
      </c>
      <c r="AA734" t="n">
        <v>27</v>
      </c>
      <c r="AB734" t="n">
        <v>27</v>
      </c>
      <c r="AC734" t="n">
        <v>27</v>
      </c>
      <c r="AD734" t="n">
        <v>1</v>
      </c>
      <c r="AE734" t="n">
        <v>1</v>
      </c>
      <c r="AF734" t="n">
        <v>2</v>
      </c>
      <c r="AG734" t="n">
        <v>2</v>
      </c>
      <c r="AH734" t="n">
        <v>0</v>
      </c>
      <c r="AI734" t="n">
        <v>0</v>
      </c>
      <c r="AJ734" t="n">
        <v>1</v>
      </c>
      <c r="AK734" t="n">
        <v>1</v>
      </c>
      <c r="AL734" t="n">
        <v>2</v>
      </c>
      <c r="AM734" t="n">
        <v>2</v>
      </c>
      <c r="AN734" t="n">
        <v>0</v>
      </c>
      <c r="AO734" t="n">
        <v>0</v>
      </c>
      <c r="AP734" t="n">
        <v>0</v>
      </c>
      <c r="AQ734" t="n">
        <v>0</v>
      </c>
      <c r="AR734" t="inlineStr">
        <is>
          <t>No</t>
        </is>
      </c>
      <c r="AS734" t="inlineStr">
        <is>
          <t>No</t>
        </is>
      </c>
      <c r="AU734">
        <f>HYPERLINK("https://creighton-primo.hosted.exlibrisgroup.com/primo-explore/search?tab=default_tab&amp;search_scope=EVERYTHING&amp;vid=01CRU&amp;lang=en_US&amp;offset=0&amp;query=any,contains,991000177369702656","Catalog Record")</f>
        <v/>
      </c>
      <c r="AV734">
        <f>HYPERLINK("http://www.worldcat.org/oclc/5837729","WorldCat Record")</f>
        <v/>
      </c>
      <c r="AW734" t="inlineStr">
        <is>
          <t>20177993:eng</t>
        </is>
      </c>
      <c r="AX734" t="inlineStr">
        <is>
          <t>5837729</t>
        </is>
      </c>
      <c r="AY734" t="inlineStr">
        <is>
          <t>991000177369702656</t>
        </is>
      </c>
      <c r="AZ734" t="inlineStr">
        <is>
          <t>991000177369702656</t>
        </is>
      </c>
      <c r="BA734" t="inlineStr">
        <is>
          <t>2257503470002656</t>
        </is>
      </c>
      <c r="BB734" t="inlineStr">
        <is>
          <t>BOOK</t>
        </is>
      </c>
      <c r="BE734" t="inlineStr">
        <is>
          <t>30001000602443</t>
        </is>
      </c>
      <c r="BF734" t="inlineStr">
        <is>
          <t>893811246</t>
        </is>
      </c>
    </row>
    <row r="735">
      <c r="A735" t="inlineStr">
        <is>
          <t>No</t>
        </is>
      </c>
      <c r="B735" t="inlineStr">
        <is>
          <t>CUHSL</t>
        </is>
      </c>
      <c r="C735" t="inlineStr">
        <is>
          <t>SHELVES</t>
        </is>
      </c>
      <c r="D735" t="inlineStr">
        <is>
          <t>W84 AA1 B268i 2002</t>
        </is>
      </c>
      <c r="E735" t="inlineStr">
        <is>
          <t>0                      W  0084000AA 1                  B  268i        2002</t>
        </is>
      </c>
      <c r="F735" t="inlineStr">
        <is>
          <t>Introduction to U.S. health policy : the organization, financing, and delivery of health care in America / Donald A. Barr.</t>
        </is>
      </c>
      <c r="H735" t="inlineStr">
        <is>
          <t>No</t>
        </is>
      </c>
      <c r="I735" t="inlineStr">
        <is>
          <t>1</t>
        </is>
      </c>
      <c r="J735" t="inlineStr">
        <is>
          <t>No</t>
        </is>
      </c>
      <c r="K735" t="inlineStr">
        <is>
          <t>No</t>
        </is>
      </c>
      <c r="L735" t="inlineStr">
        <is>
          <t>0</t>
        </is>
      </c>
      <c r="M735" t="inlineStr">
        <is>
          <t>Barr, Donald A.</t>
        </is>
      </c>
      <c r="N735" t="inlineStr">
        <is>
          <t>San Francisco : Benjamin Cummings, c2002.</t>
        </is>
      </c>
      <c r="O735" t="inlineStr">
        <is>
          <t>2002</t>
        </is>
      </c>
      <c r="Q735" t="inlineStr">
        <is>
          <t>eng</t>
        </is>
      </c>
      <c r="R735" t="inlineStr">
        <is>
          <t>cau</t>
        </is>
      </c>
      <c r="T735" t="inlineStr">
        <is>
          <t xml:space="preserve">W  </t>
        </is>
      </c>
      <c r="U735" t="n">
        <v>3</v>
      </c>
      <c r="V735" t="n">
        <v>3</v>
      </c>
      <c r="W735" t="inlineStr">
        <is>
          <t>2004-03-29</t>
        </is>
      </c>
      <c r="X735" t="inlineStr">
        <is>
          <t>2004-03-29</t>
        </is>
      </c>
      <c r="Y735" t="inlineStr">
        <is>
          <t>2002-07-02</t>
        </is>
      </c>
      <c r="Z735" t="inlineStr">
        <is>
          <t>2002-07-02</t>
        </is>
      </c>
      <c r="AA735" t="n">
        <v>138</v>
      </c>
      <c r="AB735" t="n">
        <v>126</v>
      </c>
      <c r="AC735" t="n">
        <v>762</v>
      </c>
      <c r="AD735" t="n">
        <v>3</v>
      </c>
      <c r="AE735" t="n">
        <v>9</v>
      </c>
      <c r="AF735" t="n">
        <v>7</v>
      </c>
      <c r="AG735" t="n">
        <v>40</v>
      </c>
      <c r="AH735" t="n">
        <v>1</v>
      </c>
      <c r="AI735" t="n">
        <v>14</v>
      </c>
      <c r="AJ735" t="n">
        <v>2</v>
      </c>
      <c r="AK735" t="n">
        <v>8</v>
      </c>
      <c r="AL735" t="n">
        <v>4</v>
      </c>
      <c r="AM735" t="n">
        <v>16</v>
      </c>
      <c r="AN735" t="n">
        <v>2</v>
      </c>
      <c r="AO735" t="n">
        <v>8</v>
      </c>
      <c r="AP735" t="n">
        <v>0</v>
      </c>
      <c r="AQ735" t="n">
        <v>2</v>
      </c>
      <c r="AR735" t="inlineStr">
        <is>
          <t>No</t>
        </is>
      </c>
      <c r="AS735" t="inlineStr">
        <is>
          <t>Yes</t>
        </is>
      </c>
      <c r="AT735">
        <f>HYPERLINK("http://catalog.hathitrust.org/Record/004210902","HathiTrust Record")</f>
        <v/>
      </c>
      <c r="AU735">
        <f>HYPERLINK("https://creighton-primo.hosted.exlibrisgroup.com/primo-explore/search?tab=default_tab&amp;search_scope=EVERYTHING&amp;vid=01CRU&amp;lang=en_US&amp;offset=0&amp;query=any,contains,991000321949702656","Catalog Record")</f>
        <v/>
      </c>
      <c r="AV735">
        <f>HYPERLINK("http://www.worldcat.org/oclc/47995897","WorldCat Record")</f>
        <v/>
      </c>
      <c r="AW735" t="inlineStr">
        <is>
          <t>198978273:eng</t>
        </is>
      </c>
      <c r="AX735" t="inlineStr">
        <is>
          <t>47995897</t>
        </is>
      </c>
      <c r="AY735" t="inlineStr">
        <is>
          <t>991000321949702656</t>
        </is>
      </c>
      <c r="AZ735" t="inlineStr">
        <is>
          <t>991000321949702656</t>
        </is>
      </c>
      <c r="BA735" t="inlineStr">
        <is>
          <t>2272164270002656</t>
        </is>
      </c>
      <c r="BB735" t="inlineStr">
        <is>
          <t>BOOK</t>
        </is>
      </c>
      <c r="BD735" t="inlineStr">
        <is>
          <t>9780205324194</t>
        </is>
      </c>
      <c r="BE735" t="inlineStr">
        <is>
          <t>30001004443067</t>
        </is>
      </c>
      <c r="BF735" t="inlineStr">
        <is>
          <t>893354202</t>
        </is>
      </c>
    </row>
    <row r="736">
      <c r="A736" t="inlineStr">
        <is>
          <t>No</t>
        </is>
      </c>
      <c r="B736" t="inlineStr">
        <is>
          <t>CUHSL</t>
        </is>
      </c>
      <c r="C736" t="inlineStr">
        <is>
          <t>SHELVES</t>
        </is>
      </c>
      <c r="D736" t="inlineStr">
        <is>
          <t>W 84 AA1 B324w 1993</t>
        </is>
      </c>
      <c r="E736" t="inlineStr">
        <is>
          <t>0                      W  0084000AA 1                  B  324w        1993</t>
        </is>
      </c>
      <c r="F736" t="inlineStr">
        <is>
          <t>Why we spend too much on health care : and what we can do about it / by Joseph L. Bast, Richard C. Rue, and Stuart A. Wesbury, Jr.</t>
        </is>
      </c>
      <c r="H736" t="inlineStr">
        <is>
          <t>No</t>
        </is>
      </c>
      <c r="I736" t="inlineStr">
        <is>
          <t>1</t>
        </is>
      </c>
      <c r="J736" t="inlineStr">
        <is>
          <t>No</t>
        </is>
      </c>
      <c r="K736" t="inlineStr">
        <is>
          <t>No</t>
        </is>
      </c>
      <c r="L736" t="inlineStr">
        <is>
          <t>0</t>
        </is>
      </c>
      <c r="M736" t="inlineStr">
        <is>
          <t>Bast, Joseph L. (Joseph Lee), 1958-</t>
        </is>
      </c>
      <c r="N736" t="inlineStr">
        <is>
          <t>Chicago, Ill. : Heartland Institute, c1993.</t>
        </is>
      </c>
      <c r="O736" t="inlineStr">
        <is>
          <t>1993</t>
        </is>
      </c>
      <c r="P736" t="inlineStr">
        <is>
          <t>2nd ed.</t>
        </is>
      </c>
      <c r="Q736" t="inlineStr">
        <is>
          <t>eng</t>
        </is>
      </c>
      <c r="R736" t="inlineStr">
        <is>
          <t>ilu</t>
        </is>
      </c>
      <c r="T736" t="inlineStr">
        <is>
          <t xml:space="preserve">W  </t>
        </is>
      </c>
      <c r="U736" t="n">
        <v>4</v>
      </c>
      <c r="V736" t="n">
        <v>4</v>
      </c>
      <c r="W736" t="inlineStr">
        <is>
          <t>1995-09-07</t>
        </is>
      </c>
      <c r="X736" t="inlineStr">
        <is>
          <t>1995-09-07</t>
        </is>
      </c>
      <c r="Y736" t="inlineStr">
        <is>
          <t>1993-06-15</t>
        </is>
      </c>
      <c r="Z736" t="inlineStr">
        <is>
          <t>1993-06-15</t>
        </is>
      </c>
      <c r="AA736" t="n">
        <v>239</v>
      </c>
      <c r="AB736" t="n">
        <v>229</v>
      </c>
      <c r="AC736" t="n">
        <v>274</v>
      </c>
      <c r="AD736" t="n">
        <v>2</v>
      </c>
      <c r="AE736" t="n">
        <v>3</v>
      </c>
      <c r="AF736" t="n">
        <v>8</v>
      </c>
      <c r="AG736" t="n">
        <v>11</v>
      </c>
      <c r="AH736" t="n">
        <v>2</v>
      </c>
      <c r="AI736" t="n">
        <v>3</v>
      </c>
      <c r="AJ736" t="n">
        <v>1</v>
      </c>
      <c r="AK736" t="n">
        <v>1</v>
      </c>
      <c r="AL736" t="n">
        <v>4</v>
      </c>
      <c r="AM736" t="n">
        <v>4</v>
      </c>
      <c r="AN736" t="n">
        <v>1</v>
      </c>
      <c r="AO736" t="n">
        <v>2</v>
      </c>
      <c r="AP736" t="n">
        <v>1</v>
      </c>
      <c r="AQ736" t="n">
        <v>2</v>
      </c>
      <c r="AR736" t="inlineStr">
        <is>
          <t>No</t>
        </is>
      </c>
      <c r="AS736" t="inlineStr">
        <is>
          <t>No</t>
        </is>
      </c>
      <c r="AU736">
        <f>HYPERLINK("https://creighton-primo.hosted.exlibrisgroup.com/primo-explore/search?tab=default_tab&amp;search_scope=EVERYTHING&amp;vid=01CRU&amp;lang=en_US&amp;offset=0&amp;query=any,contains,991001481449702656","Catalog Record")</f>
        <v/>
      </c>
      <c r="AV736">
        <f>HYPERLINK("http://www.worldcat.org/oclc/27728009","WorldCat Record")</f>
        <v/>
      </c>
      <c r="AW736" t="inlineStr">
        <is>
          <t>1808640846:eng</t>
        </is>
      </c>
      <c r="AX736" t="inlineStr">
        <is>
          <t>27728009</t>
        </is>
      </c>
      <c r="AY736" t="inlineStr">
        <is>
          <t>991001481449702656</t>
        </is>
      </c>
      <c r="AZ736" t="inlineStr">
        <is>
          <t>991001481449702656</t>
        </is>
      </c>
      <c r="BA736" t="inlineStr">
        <is>
          <t>2266405850002656</t>
        </is>
      </c>
      <c r="BB736" t="inlineStr">
        <is>
          <t>BOOK</t>
        </is>
      </c>
      <c r="BD736" t="inlineStr">
        <is>
          <t>9780963202727</t>
        </is>
      </c>
      <c r="BE736" t="inlineStr">
        <is>
          <t>30001002569848</t>
        </is>
      </c>
      <c r="BF736" t="inlineStr">
        <is>
          <t>893816455</t>
        </is>
      </c>
    </row>
    <row r="737">
      <c r="A737" t="inlineStr">
        <is>
          <t>No</t>
        </is>
      </c>
      <c r="B737" t="inlineStr">
        <is>
          <t>CUHSL</t>
        </is>
      </c>
      <c r="C737" t="inlineStr">
        <is>
          <t>SHELVES</t>
        </is>
      </c>
      <c r="D737" t="inlineStr">
        <is>
          <t>W84 AA1 C386 2001</t>
        </is>
      </c>
      <c r="E737" t="inlineStr">
        <is>
          <t>0                      W  0084000AA 1                  C  386         2001</t>
        </is>
      </c>
      <c r="F737" t="inlineStr">
        <is>
          <t>Changing health care systems from ethical, economic, and cross cultural perspectives / edited by Erich H. Loewy and Roberta Springer Loewy.</t>
        </is>
      </c>
      <c r="H737" t="inlineStr">
        <is>
          <t>No</t>
        </is>
      </c>
      <c r="I737" t="inlineStr">
        <is>
          <t>1</t>
        </is>
      </c>
      <c r="J737" t="inlineStr">
        <is>
          <t>No</t>
        </is>
      </c>
      <c r="K737" t="inlineStr">
        <is>
          <t>No</t>
        </is>
      </c>
      <c r="L737" t="inlineStr">
        <is>
          <t>0</t>
        </is>
      </c>
      <c r="N737" t="inlineStr">
        <is>
          <t>New York : Kluwer Academic / Plenum Publishers, c2001.</t>
        </is>
      </c>
      <c r="O737" t="inlineStr">
        <is>
          <t>2001</t>
        </is>
      </c>
      <c r="Q737" t="inlineStr">
        <is>
          <t>eng</t>
        </is>
      </c>
      <c r="R737" t="inlineStr">
        <is>
          <t>nyu</t>
        </is>
      </c>
      <c r="T737" t="inlineStr">
        <is>
          <t xml:space="preserve">W  </t>
        </is>
      </c>
      <c r="U737" t="n">
        <v>5</v>
      </c>
      <c r="V737" t="n">
        <v>5</v>
      </c>
      <c r="W737" t="inlineStr">
        <is>
          <t>2006-01-21</t>
        </is>
      </c>
      <c r="X737" t="inlineStr">
        <is>
          <t>2006-01-21</t>
        </is>
      </c>
      <c r="Y737" t="inlineStr">
        <is>
          <t>2004-06-03</t>
        </is>
      </c>
      <c r="Z737" t="inlineStr">
        <is>
          <t>2004-06-03</t>
        </is>
      </c>
      <c r="AA737" t="n">
        <v>188</v>
      </c>
      <c r="AB737" t="n">
        <v>148</v>
      </c>
      <c r="AC737" t="n">
        <v>934</v>
      </c>
      <c r="AD737" t="n">
        <v>1</v>
      </c>
      <c r="AE737" t="n">
        <v>2</v>
      </c>
      <c r="AF737" t="n">
        <v>8</v>
      </c>
      <c r="AG737" t="n">
        <v>22</v>
      </c>
      <c r="AH737" t="n">
        <v>2</v>
      </c>
      <c r="AI737" t="n">
        <v>8</v>
      </c>
      <c r="AJ737" t="n">
        <v>3</v>
      </c>
      <c r="AK737" t="n">
        <v>6</v>
      </c>
      <c r="AL737" t="n">
        <v>5</v>
      </c>
      <c r="AM737" t="n">
        <v>11</v>
      </c>
      <c r="AN737" t="n">
        <v>0</v>
      </c>
      <c r="AO737" t="n">
        <v>1</v>
      </c>
      <c r="AP737" t="n">
        <v>0</v>
      </c>
      <c r="AQ737" t="n">
        <v>0</v>
      </c>
      <c r="AR737" t="inlineStr">
        <is>
          <t>No</t>
        </is>
      </c>
      <c r="AS737" t="inlineStr">
        <is>
          <t>No</t>
        </is>
      </c>
      <c r="AU737">
        <f>HYPERLINK("https://creighton-primo.hosted.exlibrisgroup.com/primo-explore/search?tab=default_tab&amp;search_scope=EVERYTHING&amp;vid=01CRU&amp;lang=en_US&amp;offset=0&amp;query=any,contains,991000371149702656","Catalog Record")</f>
        <v/>
      </c>
      <c r="AV737">
        <f>HYPERLINK("http://www.worldcat.org/oclc/46384114","WorldCat Record")</f>
        <v/>
      </c>
      <c r="AW737" t="inlineStr">
        <is>
          <t>864927681:eng</t>
        </is>
      </c>
      <c r="AX737" t="inlineStr">
        <is>
          <t>46384114</t>
        </is>
      </c>
      <c r="AY737" t="inlineStr">
        <is>
          <t>991000371149702656</t>
        </is>
      </c>
      <c r="AZ737" t="inlineStr">
        <is>
          <t>991000371149702656</t>
        </is>
      </c>
      <c r="BA737" t="inlineStr">
        <is>
          <t>2269962230002656</t>
        </is>
      </c>
      <c r="BB737" t="inlineStr">
        <is>
          <t>BOOK</t>
        </is>
      </c>
      <c r="BD737" t="inlineStr">
        <is>
          <t>9780306465789</t>
        </is>
      </c>
      <c r="BE737" t="inlineStr">
        <is>
          <t>30001004921187</t>
        </is>
      </c>
      <c r="BF737" t="inlineStr">
        <is>
          <t>893461437</t>
        </is>
      </c>
    </row>
    <row r="738">
      <c r="A738" t="inlineStr">
        <is>
          <t>No</t>
        </is>
      </c>
      <c r="B738" t="inlineStr">
        <is>
          <t>CUHSL</t>
        </is>
      </c>
      <c r="C738" t="inlineStr">
        <is>
          <t>SHELVES</t>
        </is>
      </c>
      <c r="D738" t="inlineStr">
        <is>
          <t>W 84 AA1 C613m 1996</t>
        </is>
      </c>
      <c r="E738" t="inlineStr">
        <is>
          <t>0                      W  0084000AA 1                  C  613m        1996</t>
        </is>
      </c>
      <c r="F738" t="inlineStr">
        <is>
          <t>Making integrated health care work : case studies / by Dean C. Coddington, Cary R. Chapman, and Katherine M. Pokoski.</t>
        </is>
      </c>
      <c r="H738" t="inlineStr">
        <is>
          <t>No</t>
        </is>
      </c>
      <c r="I738" t="inlineStr">
        <is>
          <t>1</t>
        </is>
      </c>
      <c r="J738" t="inlineStr">
        <is>
          <t>No</t>
        </is>
      </c>
      <c r="K738" t="inlineStr">
        <is>
          <t>No</t>
        </is>
      </c>
      <c r="L738" t="inlineStr">
        <is>
          <t>0</t>
        </is>
      </c>
      <c r="M738" t="inlineStr">
        <is>
          <t>Coddington, Dean C.</t>
        </is>
      </c>
      <c r="N738" t="inlineStr">
        <is>
          <t>Englewood, Colo. : Center for Research in Ambulatory Health Care Administration, c1996.</t>
        </is>
      </c>
      <c r="O738" t="inlineStr">
        <is>
          <t>1996</t>
        </is>
      </c>
      <c r="Q738" t="inlineStr">
        <is>
          <t>eng</t>
        </is>
      </c>
      <c r="R738" t="inlineStr">
        <is>
          <t>cou</t>
        </is>
      </c>
      <c r="T738" t="inlineStr">
        <is>
          <t xml:space="preserve">W  </t>
        </is>
      </c>
      <c r="U738" t="n">
        <v>5</v>
      </c>
      <c r="V738" t="n">
        <v>5</v>
      </c>
      <c r="W738" t="inlineStr">
        <is>
          <t>2006-02-28</t>
        </is>
      </c>
      <c r="X738" t="inlineStr">
        <is>
          <t>2006-02-28</t>
        </is>
      </c>
      <c r="Y738" t="inlineStr">
        <is>
          <t>1998-01-29</t>
        </is>
      </c>
      <c r="Z738" t="inlineStr">
        <is>
          <t>1998-01-29</t>
        </is>
      </c>
      <c r="AA738" t="n">
        <v>87</v>
      </c>
      <c r="AB738" t="n">
        <v>76</v>
      </c>
      <c r="AC738" t="n">
        <v>146</v>
      </c>
      <c r="AD738" t="n">
        <v>2</v>
      </c>
      <c r="AE738" t="n">
        <v>2</v>
      </c>
      <c r="AF738" t="n">
        <v>8</v>
      </c>
      <c r="AG738" t="n">
        <v>12</v>
      </c>
      <c r="AH738" t="n">
        <v>4</v>
      </c>
      <c r="AI738" t="n">
        <v>4</v>
      </c>
      <c r="AJ738" t="n">
        <v>0</v>
      </c>
      <c r="AK738" t="n">
        <v>4</v>
      </c>
      <c r="AL738" t="n">
        <v>4</v>
      </c>
      <c r="AM738" t="n">
        <v>6</v>
      </c>
      <c r="AN738" t="n">
        <v>1</v>
      </c>
      <c r="AO738" t="n">
        <v>1</v>
      </c>
      <c r="AP738" t="n">
        <v>0</v>
      </c>
      <c r="AQ738" t="n">
        <v>0</v>
      </c>
      <c r="AR738" t="inlineStr">
        <is>
          <t>No</t>
        </is>
      </c>
      <c r="AS738" t="inlineStr">
        <is>
          <t>No</t>
        </is>
      </c>
      <c r="AU738">
        <f>HYPERLINK("https://creighton-primo.hosted.exlibrisgroup.com/primo-explore/search?tab=default_tab&amp;search_scope=EVERYTHING&amp;vid=01CRU&amp;lang=en_US&amp;offset=0&amp;query=any,contains,991001562369702656","Catalog Record")</f>
        <v/>
      </c>
      <c r="AV738">
        <f>HYPERLINK("http://www.worldcat.org/oclc/34586844","WorldCat Record")</f>
        <v/>
      </c>
      <c r="AW738" t="inlineStr">
        <is>
          <t>2053849:eng</t>
        </is>
      </c>
      <c r="AX738" t="inlineStr">
        <is>
          <t>34586844</t>
        </is>
      </c>
      <c r="AY738" t="inlineStr">
        <is>
          <t>991001562369702656</t>
        </is>
      </c>
      <c r="AZ738" t="inlineStr">
        <is>
          <t>991001562369702656</t>
        </is>
      </c>
      <c r="BA738" t="inlineStr">
        <is>
          <t>2266497480002656</t>
        </is>
      </c>
      <c r="BB738" t="inlineStr">
        <is>
          <t>BOOK</t>
        </is>
      </c>
      <c r="BD738" t="inlineStr">
        <is>
          <t>9781568290119</t>
        </is>
      </c>
      <c r="BE738" t="inlineStr">
        <is>
          <t>30001003605013</t>
        </is>
      </c>
      <c r="BF738" t="inlineStr">
        <is>
          <t>893541512</t>
        </is>
      </c>
    </row>
    <row r="739">
      <c r="A739" t="inlineStr">
        <is>
          <t>No</t>
        </is>
      </c>
      <c r="B739" t="inlineStr">
        <is>
          <t>CUHSL</t>
        </is>
      </c>
      <c r="C739" t="inlineStr">
        <is>
          <t>SHELVES</t>
        </is>
      </c>
      <c r="D739" t="inlineStr">
        <is>
          <t>W 84 AA1 C615na 2000</t>
        </is>
      </c>
      <c r="E739" t="inlineStr">
        <is>
          <t>0                      W  0084000AA 1                  C  615na       2000</t>
        </is>
      </c>
      <c r="F739" t="inlineStr">
        <is>
          <t>New century healthcare : strategies for providers, purchasers, and plans / Russell C. Coile, Jr.</t>
        </is>
      </c>
      <c r="H739" t="inlineStr">
        <is>
          <t>No</t>
        </is>
      </c>
      <c r="I739" t="inlineStr">
        <is>
          <t>1</t>
        </is>
      </c>
      <c r="J739" t="inlineStr">
        <is>
          <t>No</t>
        </is>
      </c>
      <c r="K739" t="inlineStr">
        <is>
          <t>No</t>
        </is>
      </c>
      <c r="L739" t="inlineStr">
        <is>
          <t>0</t>
        </is>
      </c>
      <c r="M739" t="inlineStr">
        <is>
          <t>Coile, Russell C.</t>
        </is>
      </c>
      <c r="N739" t="inlineStr">
        <is>
          <t>Chicago : Health Administration Press, c2000.</t>
        </is>
      </c>
      <c r="O739" t="inlineStr">
        <is>
          <t>2000</t>
        </is>
      </c>
      <c r="Q739" t="inlineStr">
        <is>
          <t>eng</t>
        </is>
      </c>
      <c r="R739" t="inlineStr">
        <is>
          <t>ilu</t>
        </is>
      </c>
      <c r="S739" t="inlineStr">
        <is>
          <t>ACHE management series</t>
        </is>
      </c>
      <c r="T739" t="inlineStr">
        <is>
          <t xml:space="preserve">W  </t>
        </is>
      </c>
      <c r="U739" t="n">
        <v>2</v>
      </c>
      <c r="V739" t="n">
        <v>2</v>
      </c>
      <c r="W739" t="inlineStr">
        <is>
          <t>2008-09-21</t>
        </is>
      </c>
      <c r="X739" t="inlineStr">
        <is>
          <t>2008-09-21</t>
        </is>
      </c>
      <c r="Y739" t="inlineStr">
        <is>
          <t>2004-08-27</t>
        </is>
      </c>
      <c r="Z739" t="inlineStr">
        <is>
          <t>2004-08-27</t>
        </is>
      </c>
      <c r="AA739" t="n">
        <v>111</v>
      </c>
      <c r="AB739" t="n">
        <v>100</v>
      </c>
      <c r="AC739" t="n">
        <v>136</v>
      </c>
      <c r="AD739" t="n">
        <v>1</v>
      </c>
      <c r="AE739" t="n">
        <v>1</v>
      </c>
      <c r="AF739" t="n">
        <v>6</v>
      </c>
      <c r="AG739" t="n">
        <v>7</v>
      </c>
      <c r="AH739" t="n">
        <v>3</v>
      </c>
      <c r="AI739" t="n">
        <v>3</v>
      </c>
      <c r="AJ739" t="n">
        <v>0</v>
      </c>
      <c r="AK739" t="n">
        <v>0</v>
      </c>
      <c r="AL739" t="n">
        <v>4</v>
      </c>
      <c r="AM739" t="n">
        <v>5</v>
      </c>
      <c r="AN739" t="n">
        <v>0</v>
      </c>
      <c r="AO739" t="n">
        <v>0</v>
      </c>
      <c r="AP739" t="n">
        <v>0</v>
      </c>
      <c r="AQ739" t="n">
        <v>0</v>
      </c>
      <c r="AR739" t="inlineStr">
        <is>
          <t>No</t>
        </is>
      </c>
      <c r="AS739" t="inlineStr">
        <is>
          <t>Yes</t>
        </is>
      </c>
      <c r="AT739">
        <f>HYPERLINK("http://catalog.hathitrust.org/Record/004134797","HathiTrust Record")</f>
        <v/>
      </c>
      <c r="AU739">
        <f>HYPERLINK("https://creighton-primo.hosted.exlibrisgroup.com/primo-explore/search?tab=default_tab&amp;search_scope=EVERYTHING&amp;vid=01CRU&amp;lang=en_US&amp;offset=0&amp;query=any,contains,991000379909702656","Catalog Record")</f>
        <v/>
      </c>
      <c r="AV739">
        <f>HYPERLINK("http://www.worldcat.org/oclc/43569591","WorldCat Record")</f>
        <v/>
      </c>
      <c r="AW739" t="inlineStr">
        <is>
          <t>866847929:eng</t>
        </is>
      </c>
      <c r="AX739" t="inlineStr">
        <is>
          <t>43569591</t>
        </is>
      </c>
      <c r="AY739" t="inlineStr">
        <is>
          <t>991000379909702656</t>
        </is>
      </c>
      <c r="AZ739" t="inlineStr">
        <is>
          <t>991000379909702656</t>
        </is>
      </c>
      <c r="BA739" t="inlineStr">
        <is>
          <t>2263180990002656</t>
        </is>
      </c>
      <c r="BB739" t="inlineStr">
        <is>
          <t>BOOK</t>
        </is>
      </c>
      <c r="BD739" t="inlineStr">
        <is>
          <t>9781567931235</t>
        </is>
      </c>
      <c r="BE739" t="inlineStr">
        <is>
          <t>30001004840148</t>
        </is>
      </c>
      <c r="BF739" t="inlineStr">
        <is>
          <t>893811450</t>
        </is>
      </c>
    </row>
    <row r="740">
      <c r="A740" t="inlineStr">
        <is>
          <t>No</t>
        </is>
      </c>
      <c r="B740" t="inlineStr">
        <is>
          <t>CUHSL</t>
        </is>
      </c>
      <c r="C740" t="inlineStr">
        <is>
          <t>SHELVES</t>
        </is>
      </c>
      <c r="D740" t="inlineStr">
        <is>
          <t>W 84 AA1 C62 1978</t>
        </is>
      </c>
      <c r="E740" t="inlineStr">
        <is>
          <t>0                      W  0084000AA 1                  C  62          1978</t>
        </is>
      </c>
      <c r="F740" t="inlineStr">
        <is>
          <t>Community health and medical care / edited by Anthony R. Kovner, Samuel P. Martin.</t>
        </is>
      </c>
      <c r="H740" t="inlineStr">
        <is>
          <t>No</t>
        </is>
      </c>
      <c r="I740" t="inlineStr">
        <is>
          <t>1</t>
        </is>
      </c>
      <c r="J740" t="inlineStr">
        <is>
          <t>No</t>
        </is>
      </c>
      <c r="K740" t="inlineStr">
        <is>
          <t>No</t>
        </is>
      </c>
      <c r="L740" t="inlineStr">
        <is>
          <t>0</t>
        </is>
      </c>
      <c r="N740" t="inlineStr">
        <is>
          <t>-- New York : Grune &amp; Stratton, c1978.</t>
        </is>
      </c>
      <c r="O740" t="inlineStr">
        <is>
          <t>1978</t>
        </is>
      </c>
      <c r="Q740" t="inlineStr">
        <is>
          <t>eng</t>
        </is>
      </c>
      <c r="R740" t="inlineStr">
        <is>
          <t>nyu</t>
        </is>
      </c>
      <c r="T740" t="inlineStr">
        <is>
          <t xml:space="preserve">W  </t>
        </is>
      </c>
      <c r="U740" t="n">
        <v>1</v>
      </c>
      <c r="V740" t="n">
        <v>1</v>
      </c>
      <c r="W740" t="inlineStr">
        <is>
          <t>1995-02-24</t>
        </is>
      </c>
      <c r="X740" t="inlineStr">
        <is>
          <t>1995-02-24</t>
        </is>
      </c>
      <c r="Y740" t="inlineStr">
        <is>
          <t>1987-12-21</t>
        </is>
      </c>
      <c r="Z740" t="inlineStr">
        <is>
          <t>1987-12-21</t>
        </is>
      </c>
      <c r="AA740" t="n">
        <v>170</v>
      </c>
      <c r="AB740" t="n">
        <v>122</v>
      </c>
      <c r="AC740" t="n">
        <v>124</v>
      </c>
      <c r="AD740" t="n">
        <v>1</v>
      </c>
      <c r="AE740" t="n">
        <v>1</v>
      </c>
      <c r="AF740" t="n">
        <v>0</v>
      </c>
      <c r="AG740" t="n">
        <v>0</v>
      </c>
      <c r="AH740" t="n">
        <v>0</v>
      </c>
      <c r="AI740" t="n">
        <v>0</v>
      </c>
      <c r="AJ740" t="n">
        <v>0</v>
      </c>
      <c r="AK740" t="n">
        <v>0</v>
      </c>
      <c r="AL740" t="n">
        <v>0</v>
      </c>
      <c r="AM740" t="n">
        <v>0</v>
      </c>
      <c r="AN740" t="n">
        <v>0</v>
      </c>
      <c r="AO740" t="n">
        <v>0</v>
      </c>
      <c r="AP740" t="n">
        <v>0</v>
      </c>
      <c r="AQ740" t="n">
        <v>0</v>
      </c>
      <c r="AR740" t="inlineStr">
        <is>
          <t>No</t>
        </is>
      </c>
      <c r="AS740" t="inlineStr">
        <is>
          <t>Yes</t>
        </is>
      </c>
      <c r="AT740">
        <f>HYPERLINK("http://catalog.hathitrust.org/Record/000089455","HathiTrust Record")</f>
        <v/>
      </c>
      <c r="AU740">
        <f>HYPERLINK("https://creighton-primo.hosted.exlibrisgroup.com/primo-explore/search?tab=default_tab&amp;search_scope=EVERYTHING&amp;vid=01CRU&amp;lang=en_US&amp;offset=0&amp;query=any,contains,991000655159702656","Catalog Record")</f>
        <v/>
      </c>
      <c r="AV740">
        <f>HYPERLINK("http://www.worldcat.org/oclc/3541417","WorldCat Record")</f>
        <v/>
      </c>
      <c r="AW740" t="inlineStr">
        <is>
          <t>352682908:eng</t>
        </is>
      </c>
      <c r="AX740" t="inlineStr">
        <is>
          <t>3541417</t>
        </is>
      </c>
      <c r="AY740" t="inlineStr">
        <is>
          <t>991000655159702656</t>
        </is>
      </c>
      <c r="AZ740" t="inlineStr">
        <is>
          <t>991000655159702656</t>
        </is>
      </c>
      <c r="BA740" t="inlineStr">
        <is>
          <t>2264310460002656</t>
        </is>
      </c>
      <c r="BB740" t="inlineStr">
        <is>
          <t>BOOK</t>
        </is>
      </c>
      <c r="BD740" t="inlineStr">
        <is>
          <t>9780808910466</t>
        </is>
      </c>
      <c r="BE740" t="inlineStr">
        <is>
          <t>30001000687782</t>
        </is>
      </c>
      <c r="BF740" t="inlineStr">
        <is>
          <t>893830908</t>
        </is>
      </c>
    </row>
    <row r="741">
      <c r="A741" t="inlineStr">
        <is>
          <t>No</t>
        </is>
      </c>
      <c r="B741" t="inlineStr">
        <is>
          <t>CUHSL</t>
        </is>
      </c>
      <c r="C741" t="inlineStr">
        <is>
          <t>SHELVES</t>
        </is>
      </c>
      <c r="D741" t="inlineStr">
        <is>
          <t>W 84 AA1 C679r 1993</t>
        </is>
      </c>
      <c r="E741" t="inlineStr">
        <is>
          <t>0                      W  0084000AA 1                  C  679r        1993</t>
        </is>
      </c>
      <c r="F741" t="inlineStr">
        <is>
          <t>Revolution / Russell C. Coile, Jr.</t>
        </is>
      </c>
      <c r="H741" t="inlineStr">
        <is>
          <t>No</t>
        </is>
      </c>
      <c r="I741" t="inlineStr">
        <is>
          <t>1</t>
        </is>
      </c>
      <c r="J741" t="inlineStr">
        <is>
          <t>No</t>
        </is>
      </c>
      <c r="K741" t="inlineStr">
        <is>
          <t>No</t>
        </is>
      </c>
      <c r="L741" t="inlineStr">
        <is>
          <t>0</t>
        </is>
      </c>
      <c r="M741" t="inlineStr">
        <is>
          <t>Coile, Russell C.</t>
        </is>
      </c>
      <c r="N741" t="inlineStr">
        <is>
          <t>Knoxville, Tenn. : Whittle Direct Books, c1993.</t>
        </is>
      </c>
      <c r="O741" t="inlineStr">
        <is>
          <t>1993</t>
        </is>
      </c>
      <c r="Q741" t="inlineStr">
        <is>
          <t>eng</t>
        </is>
      </c>
      <c r="R741" t="inlineStr">
        <is>
          <t>tnu</t>
        </is>
      </c>
      <c r="S741" t="inlineStr">
        <is>
          <t>Grand Rounds Press, 1053-6620</t>
        </is>
      </c>
      <c r="T741" t="inlineStr">
        <is>
          <t xml:space="preserve">W  </t>
        </is>
      </c>
      <c r="U741" t="n">
        <v>7</v>
      </c>
      <c r="V741" t="n">
        <v>7</v>
      </c>
      <c r="W741" t="inlineStr">
        <is>
          <t>1994-10-14</t>
        </is>
      </c>
      <c r="X741" t="inlineStr">
        <is>
          <t>1994-10-14</t>
        </is>
      </c>
      <c r="Y741" t="inlineStr">
        <is>
          <t>1994-01-25</t>
        </is>
      </c>
      <c r="Z741" t="inlineStr">
        <is>
          <t>1994-01-25</t>
        </is>
      </c>
      <c r="AA741" t="n">
        <v>72</v>
      </c>
      <c r="AB741" t="n">
        <v>72</v>
      </c>
      <c r="AC741" t="n">
        <v>73</v>
      </c>
      <c r="AD741" t="n">
        <v>1</v>
      </c>
      <c r="AE741" t="n">
        <v>1</v>
      </c>
      <c r="AF741" t="n">
        <v>0</v>
      </c>
      <c r="AG741" t="n">
        <v>0</v>
      </c>
      <c r="AH741" t="n">
        <v>0</v>
      </c>
      <c r="AI741" t="n">
        <v>0</v>
      </c>
      <c r="AJ741" t="n">
        <v>0</v>
      </c>
      <c r="AK741" t="n">
        <v>0</v>
      </c>
      <c r="AL741" t="n">
        <v>0</v>
      </c>
      <c r="AM741" t="n">
        <v>0</v>
      </c>
      <c r="AN741" t="n">
        <v>0</v>
      </c>
      <c r="AO741" t="n">
        <v>0</v>
      </c>
      <c r="AP741" t="n">
        <v>0</v>
      </c>
      <c r="AQ741" t="n">
        <v>0</v>
      </c>
      <c r="AR741" t="inlineStr">
        <is>
          <t>No</t>
        </is>
      </c>
      <c r="AS741" t="inlineStr">
        <is>
          <t>No</t>
        </is>
      </c>
      <c r="AU741">
        <f>HYPERLINK("https://creighton-primo.hosted.exlibrisgroup.com/primo-explore/search?tab=default_tab&amp;search_scope=EVERYTHING&amp;vid=01CRU&amp;lang=en_US&amp;offset=0&amp;query=any,contains,991000668059702656","Catalog Record")</f>
        <v/>
      </c>
      <c r="AV741">
        <f>HYPERLINK("http://www.worldcat.org/oclc/29986998","WorldCat Record")</f>
        <v/>
      </c>
      <c r="AW741" t="inlineStr">
        <is>
          <t>32392749:eng</t>
        </is>
      </c>
      <c r="AX741" t="inlineStr">
        <is>
          <t>29986998</t>
        </is>
      </c>
      <c r="AY741" t="inlineStr">
        <is>
          <t>991000668059702656</t>
        </is>
      </c>
      <c r="AZ741" t="inlineStr">
        <is>
          <t>991000668059702656</t>
        </is>
      </c>
      <c r="BA741" t="inlineStr">
        <is>
          <t>2270472630002656</t>
        </is>
      </c>
      <c r="BB741" t="inlineStr">
        <is>
          <t>BOOK</t>
        </is>
      </c>
      <c r="BD741" t="inlineStr">
        <is>
          <t>9781879736146</t>
        </is>
      </c>
      <c r="BE741" t="inlineStr">
        <is>
          <t>30001002695296</t>
        </is>
      </c>
      <c r="BF741" t="inlineStr">
        <is>
          <t>893743057</t>
        </is>
      </c>
    </row>
    <row r="742">
      <c r="A742" t="inlineStr">
        <is>
          <t>No</t>
        </is>
      </c>
      <c r="B742" t="inlineStr">
        <is>
          <t>CUHSL</t>
        </is>
      </c>
      <c r="C742" t="inlineStr">
        <is>
          <t>SHELVES</t>
        </is>
      </c>
      <c r="D742" t="inlineStr">
        <is>
          <t>W 84 AA1 C86 1990</t>
        </is>
      </c>
      <c r="E742" t="inlineStr">
        <is>
          <t>0                      W  0084000AA 1                  C  86          1990</t>
        </is>
      </c>
      <c r="F742" t="inlineStr">
        <is>
          <t>The Crisis in health care : costs, choices, and strategies / Dean C. Coddington ... [et al.].</t>
        </is>
      </c>
      <c r="H742" t="inlineStr">
        <is>
          <t>No</t>
        </is>
      </c>
      <c r="I742" t="inlineStr">
        <is>
          <t>1</t>
        </is>
      </c>
      <c r="J742" t="inlineStr">
        <is>
          <t>No</t>
        </is>
      </c>
      <c r="K742" t="inlineStr">
        <is>
          <t>No</t>
        </is>
      </c>
      <c r="L742" t="inlineStr">
        <is>
          <t>0</t>
        </is>
      </c>
      <c r="N742" t="inlineStr">
        <is>
          <t>San Francisco : Jossey-Bass Publishers, c1990.</t>
        </is>
      </c>
      <c r="O742" t="inlineStr">
        <is>
          <t>1990</t>
        </is>
      </c>
      <c r="P742" t="inlineStr">
        <is>
          <t>1st ed.</t>
        </is>
      </c>
      <c r="Q742" t="inlineStr">
        <is>
          <t>eng</t>
        </is>
      </c>
      <c r="R742" t="inlineStr">
        <is>
          <t>cau</t>
        </is>
      </c>
      <c r="S742" t="inlineStr">
        <is>
          <t>The Jossey-Bass health series.</t>
        </is>
      </c>
      <c r="T742" t="inlineStr">
        <is>
          <t xml:space="preserve">W  </t>
        </is>
      </c>
      <c r="U742" t="n">
        <v>5</v>
      </c>
      <c r="V742" t="n">
        <v>5</v>
      </c>
      <c r="W742" t="inlineStr">
        <is>
          <t>1992-06-17</t>
        </is>
      </c>
      <c r="X742" t="inlineStr">
        <is>
          <t>1992-06-17</t>
        </is>
      </c>
      <c r="Y742" t="inlineStr">
        <is>
          <t>1991-08-30</t>
        </is>
      </c>
      <c r="Z742" t="inlineStr">
        <is>
          <t>1991-08-30</t>
        </is>
      </c>
      <c r="AA742" t="n">
        <v>490</v>
      </c>
      <c r="AB742" t="n">
        <v>443</v>
      </c>
      <c r="AC742" t="n">
        <v>459</v>
      </c>
      <c r="AD742" t="n">
        <v>1</v>
      </c>
      <c r="AE742" t="n">
        <v>1</v>
      </c>
      <c r="AF742" t="n">
        <v>19</v>
      </c>
      <c r="AG742" t="n">
        <v>20</v>
      </c>
      <c r="AH742" t="n">
        <v>6</v>
      </c>
      <c r="AI742" t="n">
        <v>6</v>
      </c>
      <c r="AJ742" t="n">
        <v>6</v>
      </c>
      <c r="AK742" t="n">
        <v>7</v>
      </c>
      <c r="AL742" t="n">
        <v>9</v>
      </c>
      <c r="AM742" t="n">
        <v>10</v>
      </c>
      <c r="AN742" t="n">
        <v>0</v>
      </c>
      <c r="AO742" t="n">
        <v>0</v>
      </c>
      <c r="AP742" t="n">
        <v>2</v>
      </c>
      <c r="AQ742" t="n">
        <v>2</v>
      </c>
      <c r="AR742" t="inlineStr">
        <is>
          <t>No</t>
        </is>
      </c>
      <c r="AS742" t="inlineStr">
        <is>
          <t>Yes</t>
        </is>
      </c>
      <c r="AT742">
        <f>HYPERLINK("http://catalog.hathitrust.org/Record/002372263","HathiTrust Record")</f>
        <v/>
      </c>
      <c r="AU742">
        <f>HYPERLINK("https://creighton-primo.hosted.exlibrisgroup.com/primo-explore/search?tab=default_tab&amp;search_scope=EVERYTHING&amp;vid=01CRU&amp;lang=en_US&amp;offset=0&amp;query=any,contains,991000945399702656","Catalog Record")</f>
        <v/>
      </c>
      <c r="AV742">
        <f>HYPERLINK("http://www.worldcat.org/oclc/21950416","WorldCat Record")</f>
        <v/>
      </c>
      <c r="AW742" t="inlineStr">
        <is>
          <t>836613532:eng</t>
        </is>
      </c>
      <c r="AX742" t="inlineStr">
        <is>
          <t>21950416</t>
        </is>
      </c>
      <c r="AY742" t="inlineStr">
        <is>
          <t>991000945399702656</t>
        </is>
      </c>
      <c r="AZ742" t="inlineStr">
        <is>
          <t>991000945399702656</t>
        </is>
      </c>
      <c r="BA742" t="inlineStr">
        <is>
          <t>2270167260002656</t>
        </is>
      </c>
      <c r="BB742" t="inlineStr">
        <is>
          <t>BOOK</t>
        </is>
      </c>
      <c r="BD742" t="inlineStr">
        <is>
          <t>9781555422738</t>
        </is>
      </c>
      <c r="BE742" t="inlineStr">
        <is>
          <t>30001002193565</t>
        </is>
      </c>
      <c r="BF742" t="inlineStr">
        <is>
          <t>893134112</t>
        </is>
      </c>
    </row>
    <row r="743">
      <c r="A743" t="inlineStr">
        <is>
          <t>No</t>
        </is>
      </c>
      <c r="B743" t="inlineStr">
        <is>
          <t>CUHSL</t>
        </is>
      </c>
      <c r="C743" t="inlineStr">
        <is>
          <t>SHELVES</t>
        </is>
      </c>
      <c r="D743" t="inlineStr">
        <is>
          <t>W 84 AA1 C934 1988</t>
        </is>
      </c>
      <c r="E743" t="inlineStr">
        <is>
          <t>0                      W  0084000AA 1                  C  934         1988</t>
        </is>
      </c>
      <c r="F743" t="inlineStr">
        <is>
          <t>Critical condition : America's health care in jeopardy / Robert J. Rubin ... [et al.].</t>
        </is>
      </c>
      <c r="H743" t="inlineStr">
        <is>
          <t>No</t>
        </is>
      </c>
      <c r="I743" t="inlineStr">
        <is>
          <t>1</t>
        </is>
      </c>
      <c r="J743" t="inlineStr">
        <is>
          <t>No</t>
        </is>
      </c>
      <c r="K743" t="inlineStr">
        <is>
          <t>No</t>
        </is>
      </c>
      <c r="L743" t="inlineStr">
        <is>
          <t>0</t>
        </is>
      </c>
      <c r="N743" t="inlineStr">
        <is>
          <t>Washington : National Committee for Quality Health Care, 1988.</t>
        </is>
      </c>
      <c r="O743" t="inlineStr">
        <is>
          <t>1988</t>
        </is>
      </c>
      <c r="Q743" t="inlineStr">
        <is>
          <t>eng</t>
        </is>
      </c>
      <c r="R743" t="inlineStr">
        <is>
          <t>dcu</t>
        </is>
      </c>
      <c r="T743" t="inlineStr">
        <is>
          <t xml:space="preserve">W  </t>
        </is>
      </c>
      <c r="U743" t="n">
        <v>4</v>
      </c>
      <c r="V743" t="n">
        <v>4</v>
      </c>
      <c r="W743" t="inlineStr">
        <is>
          <t>1994-03-29</t>
        </is>
      </c>
      <c r="X743" t="inlineStr">
        <is>
          <t>1994-03-29</t>
        </is>
      </c>
      <c r="Y743" t="inlineStr">
        <is>
          <t>1989-01-26</t>
        </is>
      </c>
      <c r="Z743" t="inlineStr">
        <is>
          <t>1989-01-26</t>
        </is>
      </c>
      <c r="AA743" t="n">
        <v>24</v>
      </c>
      <c r="AB743" t="n">
        <v>24</v>
      </c>
      <c r="AC743" t="n">
        <v>24</v>
      </c>
      <c r="AD743" t="n">
        <v>1</v>
      </c>
      <c r="AE743" t="n">
        <v>1</v>
      </c>
      <c r="AF743" t="n">
        <v>1</v>
      </c>
      <c r="AG743" t="n">
        <v>1</v>
      </c>
      <c r="AH743" t="n">
        <v>0</v>
      </c>
      <c r="AI743" t="n">
        <v>0</v>
      </c>
      <c r="AJ743" t="n">
        <v>0</v>
      </c>
      <c r="AK743" t="n">
        <v>0</v>
      </c>
      <c r="AL743" t="n">
        <v>1</v>
      </c>
      <c r="AM743" t="n">
        <v>1</v>
      </c>
      <c r="AN743" t="n">
        <v>0</v>
      </c>
      <c r="AO743" t="n">
        <v>0</v>
      </c>
      <c r="AP743" t="n">
        <v>0</v>
      </c>
      <c r="AQ743" t="n">
        <v>0</v>
      </c>
      <c r="AR743" t="inlineStr">
        <is>
          <t>No</t>
        </is>
      </c>
      <c r="AS743" t="inlineStr">
        <is>
          <t>No</t>
        </is>
      </c>
      <c r="AU743">
        <f>HYPERLINK("https://creighton-primo.hosted.exlibrisgroup.com/primo-explore/search?tab=default_tab&amp;search_scope=EVERYTHING&amp;vid=01CRU&amp;lang=en_US&amp;offset=0&amp;query=any,contains,991001415569702656","Catalog Record")</f>
        <v/>
      </c>
      <c r="AV743">
        <f>HYPERLINK("http://www.worldcat.org/oclc/17884392","WorldCat Record")</f>
        <v/>
      </c>
      <c r="AW743" t="inlineStr">
        <is>
          <t>16905983:eng</t>
        </is>
      </c>
      <c r="AX743" t="inlineStr">
        <is>
          <t>17884392</t>
        </is>
      </c>
      <c r="AY743" t="inlineStr">
        <is>
          <t>991001415569702656</t>
        </is>
      </c>
      <c r="AZ743" t="inlineStr">
        <is>
          <t>991001415569702656</t>
        </is>
      </c>
      <c r="BA743" t="inlineStr">
        <is>
          <t>2272696490002656</t>
        </is>
      </c>
      <c r="BB743" t="inlineStr">
        <is>
          <t>BOOK</t>
        </is>
      </c>
      <c r="BE743" t="inlineStr">
        <is>
          <t>30001001180407</t>
        </is>
      </c>
      <c r="BF743" t="inlineStr">
        <is>
          <t>893460570</t>
        </is>
      </c>
    </row>
    <row r="744">
      <c r="A744" t="inlineStr">
        <is>
          <t>No</t>
        </is>
      </c>
      <c r="B744" t="inlineStr">
        <is>
          <t>CUHSL</t>
        </is>
      </c>
      <c r="C744" t="inlineStr">
        <is>
          <t>SHELVES</t>
        </is>
      </c>
      <c r="D744" t="inlineStr">
        <is>
          <t>W84 AA1 C967 1999</t>
        </is>
      </c>
      <c r="E744" t="inlineStr">
        <is>
          <t>0                      W  0084000AA 1                  C  967         1999</t>
        </is>
      </c>
      <c r="F744" t="inlineStr">
        <is>
          <t>Cultural competence compendium.</t>
        </is>
      </c>
      <c r="H744" t="inlineStr">
        <is>
          <t>No</t>
        </is>
      </c>
      <c r="I744" t="inlineStr">
        <is>
          <t>2</t>
        </is>
      </c>
      <c r="J744" t="inlineStr">
        <is>
          <t>Yes</t>
        </is>
      </c>
      <c r="K744" t="inlineStr">
        <is>
          <t>No</t>
        </is>
      </c>
      <c r="L744" t="inlineStr">
        <is>
          <t>0</t>
        </is>
      </c>
      <c r="N744" t="inlineStr">
        <is>
          <t>Chicago, IL : American Medical Association, c1999.</t>
        </is>
      </c>
      <c r="O744" t="inlineStr">
        <is>
          <t>1999</t>
        </is>
      </c>
      <c r="Q744" t="inlineStr">
        <is>
          <t>eng</t>
        </is>
      </c>
      <c r="R744" t="inlineStr">
        <is>
          <t>ilu</t>
        </is>
      </c>
      <c r="T744" t="inlineStr">
        <is>
          <t xml:space="preserve">W  </t>
        </is>
      </c>
      <c r="U744" t="n">
        <v>0</v>
      </c>
      <c r="V744" t="n">
        <v>0</v>
      </c>
      <c r="X744" t="inlineStr">
        <is>
          <t>2004-06-06</t>
        </is>
      </c>
      <c r="Y744" t="inlineStr">
        <is>
          <t>2005-09-29</t>
        </is>
      </c>
      <c r="Z744" t="inlineStr">
        <is>
          <t>2005-09-29</t>
        </is>
      </c>
      <c r="AA744" t="n">
        <v>136</v>
      </c>
      <c r="AB744" t="n">
        <v>126</v>
      </c>
      <c r="AC744" t="n">
        <v>128</v>
      </c>
      <c r="AD744" t="n">
        <v>1</v>
      </c>
      <c r="AE744" t="n">
        <v>1</v>
      </c>
      <c r="AF744" t="n">
        <v>3</v>
      </c>
      <c r="AG744" t="n">
        <v>3</v>
      </c>
      <c r="AH744" t="n">
        <v>0</v>
      </c>
      <c r="AI744" t="n">
        <v>0</v>
      </c>
      <c r="AJ744" t="n">
        <v>1</v>
      </c>
      <c r="AK744" t="n">
        <v>1</v>
      </c>
      <c r="AL744" t="n">
        <v>2</v>
      </c>
      <c r="AM744" t="n">
        <v>2</v>
      </c>
      <c r="AN744" t="n">
        <v>0</v>
      </c>
      <c r="AO744" t="n">
        <v>0</v>
      </c>
      <c r="AP744" t="n">
        <v>0</v>
      </c>
      <c r="AQ744" t="n">
        <v>0</v>
      </c>
      <c r="AR744" t="inlineStr">
        <is>
          <t>No</t>
        </is>
      </c>
      <c r="AS744" t="inlineStr">
        <is>
          <t>Yes</t>
        </is>
      </c>
      <c r="AT744">
        <f>HYPERLINK("http://catalog.hathitrust.org/Record/004061839","HathiTrust Record")</f>
        <v/>
      </c>
      <c r="AU744">
        <f>HYPERLINK("https://creighton-primo.hosted.exlibrisgroup.com/primo-explore/search?tab=default_tab&amp;search_scope=EVERYTHING&amp;vid=01CRU&amp;lang=en_US&amp;offset=0&amp;query=any,contains,991000324509702656","Catalog Record")</f>
        <v/>
      </c>
      <c r="AV744">
        <f>HYPERLINK("http://www.worldcat.org/oclc/45094036","WorldCat Record")</f>
        <v/>
      </c>
      <c r="AW744" t="inlineStr">
        <is>
          <t>34857225:eng</t>
        </is>
      </c>
      <c r="AX744" t="inlineStr">
        <is>
          <t>45094036</t>
        </is>
      </c>
      <c r="AY744" t="inlineStr">
        <is>
          <t>991000324509702656</t>
        </is>
      </c>
      <c r="AZ744" t="inlineStr">
        <is>
          <t>991000324509702656</t>
        </is>
      </c>
      <c r="BA744" t="inlineStr">
        <is>
          <t>2263769440002656</t>
        </is>
      </c>
      <c r="BB744" t="inlineStr">
        <is>
          <t>BOOK</t>
        </is>
      </c>
      <c r="BD744" t="inlineStr">
        <is>
          <t>9781579470500</t>
        </is>
      </c>
      <c r="BE744" t="inlineStr">
        <is>
          <t>30001004442747</t>
        </is>
      </c>
      <c r="BF744" t="inlineStr">
        <is>
          <t>893269354</t>
        </is>
      </c>
    </row>
    <row r="745">
      <c r="A745" t="inlineStr">
        <is>
          <t>No</t>
        </is>
      </c>
      <c r="B745" t="inlineStr">
        <is>
          <t>CUHSL</t>
        </is>
      </c>
      <c r="C745" t="inlineStr">
        <is>
          <t>SHELVES</t>
        </is>
      </c>
      <c r="D745" t="inlineStr">
        <is>
          <t>W84 AA1 C967 1999</t>
        </is>
      </c>
      <c r="E745" t="inlineStr">
        <is>
          <t>0                      W  0084000AA 1                  C  967         1999</t>
        </is>
      </c>
      <c r="F745" t="inlineStr">
        <is>
          <t>Cultural competence compendium.</t>
        </is>
      </c>
      <c r="H745" t="inlineStr">
        <is>
          <t>No</t>
        </is>
      </c>
      <c r="I745" t="inlineStr">
        <is>
          <t>1</t>
        </is>
      </c>
      <c r="J745" t="inlineStr">
        <is>
          <t>Yes</t>
        </is>
      </c>
      <c r="K745" t="inlineStr">
        <is>
          <t>No</t>
        </is>
      </c>
      <c r="L745" t="inlineStr">
        <is>
          <t>0</t>
        </is>
      </c>
      <c r="N745" t="inlineStr">
        <is>
          <t>Chicago, IL : American Medical Association, c1999.</t>
        </is>
      </c>
      <c r="O745" t="inlineStr">
        <is>
          <t>1999</t>
        </is>
      </c>
      <c r="Q745" t="inlineStr">
        <is>
          <t>eng</t>
        </is>
      </c>
      <c r="R745" t="inlineStr">
        <is>
          <t>ilu</t>
        </is>
      </c>
      <c r="T745" t="inlineStr">
        <is>
          <t xml:space="preserve">W  </t>
        </is>
      </c>
      <c r="U745" t="n">
        <v>0</v>
      </c>
      <c r="V745" t="n">
        <v>0</v>
      </c>
      <c r="W745" t="inlineStr">
        <is>
          <t>2004-06-06</t>
        </is>
      </c>
      <c r="X745" t="inlineStr">
        <is>
          <t>2004-06-06</t>
        </is>
      </c>
      <c r="Y745" t="inlineStr">
        <is>
          <t>2002-07-10</t>
        </is>
      </c>
      <c r="Z745" t="inlineStr">
        <is>
          <t>2005-09-29</t>
        </is>
      </c>
      <c r="AA745" t="n">
        <v>136</v>
      </c>
      <c r="AB745" t="n">
        <v>126</v>
      </c>
      <c r="AC745" t="n">
        <v>128</v>
      </c>
      <c r="AD745" t="n">
        <v>1</v>
      </c>
      <c r="AE745" t="n">
        <v>1</v>
      </c>
      <c r="AF745" t="n">
        <v>3</v>
      </c>
      <c r="AG745" t="n">
        <v>3</v>
      </c>
      <c r="AH745" t="n">
        <v>0</v>
      </c>
      <c r="AI745" t="n">
        <v>0</v>
      </c>
      <c r="AJ745" t="n">
        <v>1</v>
      </c>
      <c r="AK745" t="n">
        <v>1</v>
      </c>
      <c r="AL745" t="n">
        <v>2</v>
      </c>
      <c r="AM745" t="n">
        <v>2</v>
      </c>
      <c r="AN745" t="n">
        <v>0</v>
      </c>
      <c r="AO745" t="n">
        <v>0</v>
      </c>
      <c r="AP745" t="n">
        <v>0</v>
      </c>
      <c r="AQ745" t="n">
        <v>0</v>
      </c>
      <c r="AR745" t="inlineStr">
        <is>
          <t>No</t>
        </is>
      </c>
      <c r="AS745" t="inlineStr">
        <is>
          <t>Yes</t>
        </is>
      </c>
      <c r="AT745">
        <f>HYPERLINK("http://catalog.hathitrust.org/Record/004061839","HathiTrust Record")</f>
        <v/>
      </c>
      <c r="AU745">
        <f>HYPERLINK("https://creighton-primo.hosted.exlibrisgroup.com/primo-explore/search?tab=default_tab&amp;search_scope=EVERYTHING&amp;vid=01CRU&amp;lang=en_US&amp;offset=0&amp;query=any,contains,991000324509702656","Catalog Record")</f>
        <v/>
      </c>
      <c r="AV745">
        <f>HYPERLINK("http://www.worldcat.org/oclc/45094036","WorldCat Record")</f>
        <v/>
      </c>
      <c r="AW745" t="inlineStr">
        <is>
          <t>34857225:eng</t>
        </is>
      </c>
      <c r="AX745" t="inlineStr">
        <is>
          <t>45094036</t>
        </is>
      </c>
      <c r="AY745" t="inlineStr">
        <is>
          <t>991000324509702656</t>
        </is>
      </c>
      <c r="AZ745" t="inlineStr">
        <is>
          <t>991000324509702656</t>
        </is>
      </c>
      <c r="BA745" t="inlineStr">
        <is>
          <t>2263769440002656</t>
        </is>
      </c>
      <c r="BB745" t="inlineStr">
        <is>
          <t>BOOK</t>
        </is>
      </c>
      <c r="BD745" t="inlineStr">
        <is>
          <t>9781579470500</t>
        </is>
      </c>
      <c r="BE745" t="inlineStr">
        <is>
          <t>30001004509743</t>
        </is>
      </c>
      <c r="BF745" t="inlineStr">
        <is>
          <t>893274962</t>
        </is>
      </c>
    </row>
    <row r="746">
      <c r="A746" t="inlineStr">
        <is>
          <t>No</t>
        </is>
      </c>
      <c r="B746" t="inlineStr">
        <is>
          <t>CUHSL</t>
        </is>
      </c>
      <c r="C746" t="inlineStr">
        <is>
          <t>SHELVES</t>
        </is>
      </c>
      <c r="D746" t="inlineStr">
        <is>
          <t>W 84 AA1 D626q 2004</t>
        </is>
      </c>
      <c r="E746" t="inlineStr">
        <is>
          <t>0                      W  0084000AA 1                  D  626q        2004</t>
        </is>
      </c>
      <c r="F746" t="inlineStr">
        <is>
          <t>The quality handbook for health care organizations : a manager's guide to tools and programs / Yosef D. Dlugacz, Andrea Restifo, Alice Greenwood.</t>
        </is>
      </c>
      <c r="H746" t="inlineStr">
        <is>
          <t>No</t>
        </is>
      </c>
      <c r="I746" t="inlineStr">
        <is>
          <t>1</t>
        </is>
      </c>
      <c r="J746" t="inlineStr">
        <is>
          <t>No</t>
        </is>
      </c>
      <c r="K746" t="inlineStr">
        <is>
          <t>No</t>
        </is>
      </c>
      <c r="L746" t="inlineStr">
        <is>
          <t>0</t>
        </is>
      </c>
      <c r="M746" t="inlineStr">
        <is>
          <t>Dlugacz, Yosef D., 1947-</t>
        </is>
      </c>
      <c r="N746" t="inlineStr">
        <is>
          <t>San Francisco : Jossey-Bass, c2004.</t>
        </is>
      </c>
      <c r="O746" t="inlineStr">
        <is>
          <t>2004</t>
        </is>
      </c>
      <c r="P746" t="inlineStr">
        <is>
          <t>1st ed.</t>
        </is>
      </c>
      <c r="Q746" t="inlineStr">
        <is>
          <t>eng</t>
        </is>
      </c>
      <c r="R746" t="inlineStr">
        <is>
          <t>cau</t>
        </is>
      </c>
      <c r="T746" t="inlineStr">
        <is>
          <t xml:space="preserve">W  </t>
        </is>
      </c>
      <c r="U746" t="n">
        <v>5</v>
      </c>
      <c r="V746" t="n">
        <v>5</v>
      </c>
      <c r="W746" t="inlineStr">
        <is>
          <t>2007-02-07</t>
        </is>
      </c>
      <c r="X746" t="inlineStr">
        <is>
          <t>2007-02-07</t>
        </is>
      </c>
      <c r="Y746" t="inlineStr">
        <is>
          <t>2004-11-01</t>
        </is>
      </c>
      <c r="Z746" t="inlineStr">
        <is>
          <t>2004-11-01</t>
        </is>
      </c>
      <c r="AA746" t="n">
        <v>250</v>
      </c>
      <c r="AB746" t="n">
        <v>208</v>
      </c>
      <c r="AC746" t="n">
        <v>210</v>
      </c>
      <c r="AD746" t="n">
        <v>2</v>
      </c>
      <c r="AE746" t="n">
        <v>2</v>
      </c>
      <c r="AF746" t="n">
        <v>10</v>
      </c>
      <c r="AG746" t="n">
        <v>10</v>
      </c>
      <c r="AH746" t="n">
        <v>3</v>
      </c>
      <c r="AI746" t="n">
        <v>3</v>
      </c>
      <c r="AJ746" t="n">
        <v>2</v>
      </c>
      <c r="AK746" t="n">
        <v>2</v>
      </c>
      <c r="AL746" t="n">
        <v>6</v>
      </c>
      <c r="AM746" t="n">
        <v>6</v>
      </c>
      <c r="AN746" t="n">
        <v>1</v>
      </c>
      <c r="AO746" t="n">
        <v>1</v>
      </c>
      <c r="AP746" t="n">
        <v>0</v>
      </c>
      <c r="AQ746" t="n">
        <v>0</v>
      </c>
      <c r="AR746" t="inlineStr">
        <is>
          <t>No</t>
        </is>
      </c>
      <c r="AS746" t="inlineStr">
        <is>
          <t>Yes</t>
        </is>
      </c>
      <c r="AT746">
        <f>HYPERLINK("http://catalog.hathitrust.org/Record/004379323","HathiTrust Record")</f>
        <v/>
      </c>
      <c r="AU746">
        <f>HYPERLINK("https://creighton-primo.hosted.exlibrisgroup.com/primo-explore/search?tab=default_tab&amp;search_scope=EVERYTHING&amp;vid=01CRU&amp;lang=en_US&amp;offset=0&amp;query=any,contains,991001730899702656","Catalog Record")</f>
        <v/>
      </c>
      <c r="AV746">
        <f>HYPERLINK("http://www.worldcat.org/oclc/52937977","WorldCat Record")</f>
        <v/>
      </c>
      <c r="AW746" t="inlineStr">
        <is>
          <t>429813308:eng</t>
        </is>
      </c>
      <c r="AX746" t="inlineStr">
        <is>
          <t>52937977</t>
        </is>
      </c>
      <c r="AY746" t="inlineStr">
        <is>
          <t>991001730899702656</t>
        </is>
      </c>
      <c r="AZ746" t="inlineStr">
        <is>
          <t>991001730899702656</t>
        </is>
      </c>
      <c r="BA746" t="inlineStr">
        <is>
          <t>2262690850002656</t>
        </is>
      </c>
      <c r="BB746" t="inlineStr">
        <is>
          <t>BOOK</t>
        </is>
      </c>
      <c r="BD746" t="inlineStr">
        <is>
          <t>9780787969219</t>
        </is>
      </c>
      <c r="BE746" t="inlineStr">
        <is>
          <t>30001004924124</t>
        </is>
      </c>
      <c r="BF746" t="inlineStr">
        <is>
          <t>893741358</t>
        </is>
      </c>
    </row>
    <row r="747">
      <c r="A747" t="inlineStr">
        <is>
          <t>No</t>
        </is>
      </c>
      <c r="B747" t="inlineStr">
        <is>
          <t>CUHSL</t>
        </is>
      </c>
      <c r="C747" t="inlineStr">
        <is>
          <t>SHELVES</t>
        </is>
      </c>
      <c r="D747" t="inlineStr">
        <is>
          <t>W84 AA1 E96 2006</t>
        </is>
      </c>
      <c r="E747" t="inlineStr">
        <is>
          <t>0                      W  0084000AA 1                  E  96          2006</t>
        </is>
      </c>
      <c r="F747"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7" t="inlineStr">
        <is>
          <t>No</t>
        </is>
      </c>
      <c r="I747" t="inlineStr">
        <is>
          <t>1</t>
        </is>
      </c>
      <c r="J747" t="inlineStr">
        <is>
          <t>Yes</t>
        </is>
      </c>
      <c r="K747" t="inlineStr">
        <is>
          <t>No</t>
        </is>
      </c>
      <c r="L747" t="inlineStr">
        <is>
          <t>2</t>
        </is>
      </c>
      <c r="N747" t="inlineStr">
        <is>
          <t>Washington, D.C. : National Academy Press, c2006.</t>
        </is>
      </c>
      <c r="O747" t="inlineStr">
        <is>
          <t>2006</t>
        </is>
      </c>
      <c r="Q747" t="inlineStr">
        <is>
          <t>eng</t>
        </is>
      </c>
      <c r="R747" t="inlineStr">
        <is>
          <t>dcu</t>
        </is>
      </c>
      <c r="T747" t="inlineStr">
        <is>
          <t xml:space="preserve">W  </t>
        </is>
      </c>
      <c r="U747" t="n">
        <v>2</v>
      </c>
      <c r="V747" t="n">
        <v>8</v>
      </c>
      <c r="W747" t="inlineStr">
        <is>
          <t>2010-09-15</t>
        </is>
      </c>
      <c r="X747" t="inlineStr">
        <is>
          <t>2010-09-15</t>
        </is>
      </c>
      <c r="Y747" t="inlineStr">
        <is>
          <t>2007-03-28</t>
        </is>
      </c>
      <c r="Z747" t="inlineStr">
        <is>
          <t>2008-04-17</t>
        </is>
      </c>
      <c r="AA747" t="n">
        <v>182</v>
      </c>
      <c r="AB747" t="n">
        <v>166</v>
      </c>
      <c r="AC747" t="n">
        <v>1173</v>
      </c>
      <c r="AD747" t="n">
        <v>3</v>
      </c>
      <c r="AE747" t="n">
        <v>16</v>
      </c>
      <c r="AF747" t="n">
        <v>5</v>
      </c>
      <c r="AG747" t="n">
        <v>44</v>
      </c>
      <c r="AH747" t="n">
        <v>1</v>
      </c>
      <c r="AI747" t="n">
        <v>13</v>
      </c>
      <c r="AJ747" t="n">
        <v>1</v>
      </c>
      <c r="AK747" t="n">
        <v>9</v>
      </c>
      <c r="AL747" t="n">
        <v>2</v>
      </c>
      <c r="AM747" t="n">
        <v>13</v>
      </c>
      <c r="AN747" t="n">
        <v>2</v>
      </c>
      <c r="AO747" t="n">
        <v>14</v>
      </c>
      <c r="AP747" t="n">
        <v>0</v>
      </c>
      <c r="AQ747" t="n">
        <v>2</v>
      </c>
      <c r="AR747" t="inlineStr">
        <is>
          <t>No</t>
        </is>
      </c>
      <c r="AS747" t="inlineStr">
        <is>
          <t>No</t>
        </is>
      </c>
      <c r="AU747">
        <f>HYPERLINK("https://creighton-primo.hosted.exlibrisgroup.com/primo-explore/search?tab=default_tab&amp;search_scope=EVERYTHING&amp;vid=01CRU&amp;lang=en_US&amp;offset=0&amp;query=any,contains,991000604959702656","Catalog Record")</f>
        <v/>
      </c>
      <c r="AV747">
        <f>HYPERLINK("http://www.worldcat.org/oclc/65617478","WorldCat Record")</f>
        <v/>
      </c>
      <c r="AW747" t="inlineStr">
        <is>
          <t>797223859:eng</t>
        </is>
      </c>
      <c r="AX747" t="inlineStr">
        <is>
          <t>65617478</t>
        </is>
      </c>
      <c r="AY747" t="inlineStr">
        <is>
          <t>991000604959702656</t>
        </is>
      </c>
      <c r="AZ747" t="inlineStr">
        <is>
          <t>991000604959702656</t>
        </is>
      </c>
      <c r="BA747" t="inlineStr">
        <is>
          <t>2266090920002656</t>
        </is>
      </c>
      <c r="BB747" t="inlineStr">
        <is>
          <t>BOOK</t>
        </is>
      </c>
      <c r="BD747" t="inlineStr">
        <is>
          <t>9780309101219</t>
        </is>
      </c>
      <c r="BE747" t="inlineStr">
        <is>
          <t>30001005176609</t>
        </is>
      </c>
      <c r="BF747" t="inlineStr">
        <is>
          <t>893647600</t>
        </is>
      </c>
    </row>
    <row r="748">
      <c r="A748" t="inlineStr">
        <is>
          <t>No</t>
        </is>
      </c>
      <c r="B748" t="inlineStr">
        <is>
          <t>CUHSL</t>
        </is>
      </c>
      <c r="C748" t="inlineStr">
        <is>
          <t>SHELVES</t>
        </is>
      </c>
      <c r="D748" t="inlineStr">
        <is>
          <t>W84 AA1 E96 2006</t>
        </is>
      </c>
      <c r="E748" t="inlineStr">
        <is>
          <t>0                      W  0084000AA 1                  E  96          2006</t>
        </is>
      </c>
      <c r="F748"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8" t="inlineStr">
        <is>
          <t>No</t>
        </is>
      </c>
      <c r="I748" t="inlineStr">
        <is>
          <t>1</t>
        </is>
      </c>
      <c r="J748" t="inlineStr">
        <is>
          <t>Yes</t>
        </is>
      </c>
      <c r="K748" t="inlineStr">
        <is>
          <t>No</t>
        </is>
      </c>
      <c r="L748" t="inlineStr">
        <is>
          <t>2</t>
        </is>
      </c>
      <c r="N748" t="inlineStr">
        <is>
          <t>Washington, D.C. : National Academy Press, c2006.</t>
        </is>
      </c>
      <c r="O748" t="inlineStr">
        <is>
          <t>2006</t>
        </is>
      </c>
      <c r="Q748" t="inlineStr">
        <is>
          <t>eng</t>
        </is>
      </c>
      <c r="R748" t="inlineStr">
        <is>
          <t>dcu</t>
        </is>
      </c>
      <c r="T748" t="inlineStr">
        <is>
          <t xml:space="preserve">W  </t>
        </is>
      </c>
      <c r="U748" t="n">
        <v>4</v>
      </c>
      <c r="V748" t="n">
        <v>8</v>
      </c>
      <c r="W748" t="inlineStr">
        <is>
          <t>2010-09-15</t>
        </is>
      </c>
      <c r="X748" t="inlineStr">
        <is>
          <t>2010-09-15</t>
        </is>
      </c>
      <c r="Y748" t="inlineStr">
        <is>
          <t>2008-03-20</t>
        </is>
      </c>
      <c r="Z748" t="inlineStr">
        <is>
          <t>2008-04-17</t>
        </is>
      </c>
      <c r="AA748" t="n">
        <v>182</v>
      </c>
      <c r="AB748" t="n">
        <v>166</v>
      </c>
      <c r="AC748" t="n">
        <v>1173</v>
      </c>
      <c r="AD748" t="n">
        <v>3</v>
      </c>
      <c r="AE748" t="n">
        <v>16</v>
      </c>
      <c r="AF748" t="n">
        <v>5</v>
      </c>
      <c r="AG748" t="n">
        <v>44</v>
      </c>
      <c r="AH748" t="n">
        <v>1</v>
      </c>
      <c r="AI748" t="n">
        <v>13</v>
      </c>
      <c r="AJ748" t="n">
        <v>1</v>
      </c>
      <c r="AK748" t="n">
        <v>9</v>
      </c>
      <c r="AL748" t="n">
        <v>2</v>
      </c>
      <c r="AM748" t="n">
        <v>13</v>
      </c>
      <c r="AN748" t="n">
        <v>2</v>
      </c>
      <c r="AO748" t="n">
        <v>14</v>
      </c>
      <c r="AP748" t="n">
        <v>0</v>
      </c>
      <c r="AQ748" t="n">
        <v>2</v>
      </c>
      <c r="AR748" t="inlineStr">
        <is>
          <t>No</t>
        </is>
      </c>
      <c r="AS748" t="inlineStr">
        <is>
          <t>No</t>
        </is>
      </c>
      <c r="AU748">
        <f>HYPERLINK("https://creighton-primo.hosted.exlibrisgroup.com/primo-explore/search?tab=default_tab&amp;search_scope=EVERYTHING&amp;vid=01CRU&amp;lang=en_US&amp;offset=0&amp;query=any,contains,991000604959702656","Catalog Record")</f>
        <v/>
      </c>
      <c r="AV748">
        <f>HYPERLINK("http://www.worldcat.org/oclc/65617478","WorldCat Record")</f>
        <v/>
      </c>
      <c r="AW748" t="inlineStr">
        <is>
          <t>797223859:eng</t>
        </is>
      </c>
      <c r="AX748" t="inlineStr">
        <is>
          <t>65617478</t>
        </is>
      </c>
      <c r="AY748" t="inlineStr">
        <is>
          <t>991000604959702656</t>
        </is>
      </c>
      <c r="AZ748" t="inlineStr">
        <is>
          <t>991000604959702656</t>
        </is>
      </c>
      <c r="BA748" t="inlineStr">
        <is>
          <t>2266090920002656</t>
        </is>
      </c>
      <c r="BB748" t="inlineStr">
        <is>
          <t>BOOK</t>
        </is>
      </c>
      <c r="BD748" t="inlineStr">
        <is>
          <t>9780309101219</t>
        </is>
      </c>
      <c r="BE748" t="inlineStr">
        <is>
          <t>30001005270634</t>
        </is>
      </c>
      <c r="BF748" t="inlineStr">
        <is>
          <t>893641995</t>
        </is>
      </c>
    </row>
    <row r="749">
      <c r="A749" t="inlineStr">
        <is>
          <t>No</t>
        </is>
      </c>
      <c r="B749" t="inlineStr">
        <is>
          <t>CUHSL</t>
        </is>
      </c>
      <c r="C749" t="inlineStr">
        <is>
          <t>SHELVES</t>
        </is>
      </c>
      <c r="D749" t="inlineStr">
        <is>
          <t>W84 AA1 E96 2006</t>
        </is>
      </c>
      <c r="E749" t="inlineStr">
        <is>
          <t>0                      W  0084000AA 1                  E  96          2006</t>
        </is>
      </c>
      <c r="F749"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9" t="inlineStr">
        <is>
          <t>No</t>
        </is>
      </c>
      <c r="I749" t="inlineStr">
        <is>
          <t>1</t>
        </is>
      </c>
      <c r="J749" t="inlineStr">
        <is>
          <t>Yes</t>
        </is>
      </c>
      <c r="K749" t="inlineStr">
        <is>
          <t>No</t>
        </is>
      </c>
      <c r="L749" t="inlineStr">
        <is>
          <t>2</t>
        </is>
      </c>
      <c r="N749" t="inlineStr">
        <is>
          <t>Washington, D.C. : National Academy Press, c2006.</t>
        </is>
      </c>
      <c r="O749" t="inlineStr">
        <is>
          <t>2006</t>
        </is>
      </c>
      <c r="Q749" t="inlineStr">
        <is>
          <t>eng</t>
        </is>
      </c>
      <c r="R749" t="inlineStr">
        <is>
          <t>dcu</t>
        </is>
      </c>
      <c r="T749" t="inlineStr">
        <is>
          <t xml:space="preserve">W  </t>
        </is>
      </c>
      <c r="U749" t="n">
        <v>2</v>
      </c>
      <c r="V749" t="n">
        <v>8</v>
      </c>
      <c r="W749" t="inlineStr">
        <is>
          <t>2010-09-15</t>
        </is>
      </c>
      <c r="X749" t="inlineStr">
        <is>
          <t>2010-09-15</t>
        </is>
      </c>
      <c r="Y749" t="inlineStr">
        <is>
          <t>2008-04-17</t>
        </is>
      </c>
      <c r="Z749" t="inlineStr">
        <is>
          <t>2008-04-17</t>
        </is>
      </c>
      <c r="AA749" t="n">
        <v>182</v>
      </c>
      <c r="AB749" t="n">
        <v>166</v>
      </c>
      <c r="AC749" t="n">
        <v>1173</v>
      </c>
      <c r="AD749" t="n">
        <v>3</v>
      </c>
      <c r="AE749" t="n">
        <v>16</v>
      </c>
      <c r="AF749" t="n">
        <v>5</v>
      </c>
      <c r="AG749" t="n">
        <v>44</v>
      </c>
      <c r="AH749" t="n">
        <v>1</v>
      </c>
      <c r="AI749" t="n">
        <v>13</v>
      </c>
      <c r="AJ749" t="n">
        <v>1</v>
      </c>
      <c r="AK749" t="n">
        <v>9</v>
      </c>
      <c r="AL749" t="n">
        <v>2</v>
      </c>
      <c r="AM749" t="n">
        <v>13</v>
      </c>
      <c r="AN749" t="n">
        <v>2</v>
      </c>
      <c r="AO749" t="n">
        <v>14</v>
      </c>
      <c r="AP749" t="n">
        <v>0</v>
      </c>
      <c r="AQ749" t="n">
        <v>2</v>
      </c>
      <c r="AR749" t="inlineStr">
        <is>
          <t>No</t>
        </is>
      </c>
      <c r="AS749" t="inlineStr">
        <is>
          <t>No</t>
        </is>
      </c>
      <c r="AU749">
        <f>HYPERLINK("https://creighton-primo.hosted.exlibrisgroup.com/primo-explore/search?tab=default_tab&amp;search_scope=EVERYTHING&amp;vid=01CRU&amp;lang=en_US&amp;offset=0&amp;query=any,contains,991000604959702656","Catalog Record")</f>
        <v/>
      </c>
      <c r="AV749">
        <f>HYPERLINK("http://www.worldcat.org/oclc/65617478","WorldCat Record")</f>
        <v/>
      </c>
      <c r="AW749" t="inlineStr">
        <is>
          <t>797223859:eng</t>
        </is>
      </c>
      <c r="AX749" t="inlineStr">
        <is>
          <t>65617478</t>
        </is>
      </c>
      <c r="AY749" t="inlineStr">
        <is>
          <t>991000604959702656</t>
        </is>
      </c>
      <c r="AZ749" t="inlineStr">
        <is>
          <t>991000604959702656</t>
        </is>
      </c>
      <c r="BA749" t="inlineStr">
        <is>
          <t>2266090920002656</t>
        </is>
      </c>
      <c r="BB749" t="inlineStr">
        <is>
          <t>BOOK</t>
        </is>
      </c>
      <c r="BD749" t="inlineStr">
        <is>
          <t>9780309101219</t>
        </is>
      </c>
      <c r="BE749" t="inlineStr">
        <is>
          <t>30001005292273</t>
        </is>
      </c>
      <c r="BF749" t="inlineStr">
        <is>
          <t>893651244</t>
        </is>
      </c>
    </row>
    <row r="750">
      <c r="A750" t="inlineStr">
        <is>
          <t>No</t>
        </is>
      </c>
      <c r="B750" t="inlineStr">
        <is>
          <t>CUHSL</t>
        </is>
      </c>
      <c r="C750" t="inlineStr">
        <is>
          <t>SHELVES</t>
        </is>
      </c>
      <c r="D750" t="inlineStr">
        <is>
          <t>W 84 AA1 F996 1987</t>
        </is>
      </c>
      <c r="E750" t="inlineStr">
        <is>
          <t>0                      W  0084000AA 1                  F  996         1987</t>
        </is>
      </c>
      <c r="F750" t="inlineStr">
        <is>
          <t>The Future of healthcare : changes and choices / Arthur Anderson &amp; Co., American College of Healthcare Executives.</t>
        </is>
      </c>
      <c r="H750" t="inlineStr">
        <is>
          <t>No</t>
        </is>
      </c>
      <c r="I750" t="inlineStr">
        <is>
          <t>1</t>
        </is>
      </c>
      <c r="J750" t="inlineStr">
        <is>
          <t>No</t>
        </is>
      </c>
      <c r="K750" t="inlineStr">
        <is>
          <t>No</t>
        </is>
      </c>
      <c r="L750" t="inlineStr">
        <is>
          <t>0</t>
        </is>
      </c>
      <c r="N750" t="inlineStr">
        <is>
          <t>Chicago : Arthur Anderson &amp; Co., c1987.</t>
        </is>
      </c>
      <c r="O750" t="inlineStr">
        <is>
          <t>1987</t>
        </is>
      </c>
      <c r="Q750" t="inlineStr">
        <is>
          <t>eng</t>
        </is>
      </c>
      <c r="R750" t="inlineStr">
        <is>
          <t>ilu</t>
        </is>
      </c>
      <c r="T750" t="inlineStr">
        <is>
          <t xml:space="preserve">W  </t>
        </is>
      </c>
      <c r="U750" t="n">
        <v>13</v>
      </c>
      <c r="V750" t="n">
        <v>13</v>
      </c>
      <c r="W750" t="inlineStr">
        <is>
          <t>1999-03-26</t>
        </is>
      </c>
      <c r="X750" t="inlineStr">
        <is>
          <t>1999-03-26</t>
        </is>
      </c>
      <c r="Y750" t="inlineStr">
        <is>
          <t>1988-12-14</t>
        </is>
      </c>
      <c r="Z750" t="inlineStr">
        <is>
          <t>1988-12-14</t>
        </is>
      </c>
      <c r="AA750" t="n">
        <v>79</v>
      </c>
      <c r="AB750" t="n">
        <v>73</v>
      </c>
      <c r="AC750" t="n">
        <v>103</v>
      </c>
      <c r="AD750" t="n">
        <v>1</v>
      </c>
      <c r="AE750" t="n">
        <v>1</v>
      </c>
      <c r="AF750" t="n">
        <v>3</v>
      </c>
      <c r="AG750" t="n">
        <v>6</v>
      </c>
      <c r="AH750" t="n">
        <v>0</v>
      </c>
      <c r="AI750" t="n">
        <v>2</v>
      </c>
      <c r="AJ750" t="n">
        <v>1</v>
      </c>
      <c r="AK750" t="n">
        <v>1</v>
      </c>
      <c r="AL750" t="n">
        <v>0</v>
      </c>
      <c r="AM750" t="n">
        <v>2</v>
      </c>
      <c r="AN750" t="n">
        <v>0</v>
      </c>
      <c r="AO750" t="n">
        <v>0</v>
      </c>
      <c r="AP750" t="n">
        <v>2</v>
      </c>
      <c r="AQ750" t="n">
        <v>2</v>
      </c>
      <c r="AR750" t="inlineStr">
        <is>
          <t>No</t>
        </is>
      </c>
      <c r="AS750" t="inlineStr">
        <is>
          <t>No</t>
        </is>
      </c>
      <c r="AU750">
        <f>HYPERLINK("https://creighton-primo.hosted.exlibrisgroup.com/primo-explore/search?tab=default_tab&amp;search_scope=EVERYTHING&amp;vid=01CRU&amp;lang=en_US&amp;offset=0&amp;query=any,contains,991001105259702656","Catalog Record")</f>
        <v/>
      </c>
      <c r="AV750">
        <f>HYPERLINK("http://www.worldcat.org/oclc/29033708","WorldCat Record")</f>
        <v/>
      </c>
      <c r="AW750" t="inlineStr">
        <is>
          <t>9094314903:eng</t>
        </is>
      </c>
      <c r="AX750" t="inlineStr">
        <is>
          <t>29033708</t>
        </is>
      </c>
      <c r="AY750" t="inlineStr">
        <is>
          <t>991001105259702656</t>
        </is>
      </c>
      <c r="AZ750" t="inlineStr">
        <is>
          <t>991001105259702656</t>
        </is>
      </c>
      <c r="BA750" t="inlineStr">
        <is>
          <t>2258147180002656</t>
        </is>
      </c>
      <c r="BB750" t="inlineStr">
        <is>
          <t>BOOK</t>
        </is>
      </c>
      <c r="BE750" t="inlineStr">
        <is>
          <t>30001001610775</t>
        </is>
      </c>
      <c r="BF750" t="inlineStr">
        <is>
          <t>893552142</t>
        </is>
      </c>
    </row>
    <row r="751">
      <c r="A751" t="inlineStr">
        <is>
          <t>No</t>
        </is>
      </c>
      <c r="B751" t="inlineStr">
        <is>
          <t>CUHSL</t>
        </is>
      </c>
      <c r="C751" t="inlineStr">
        <is>
          <t>SHELVES</t>
        </is>
      </c>
      <c r="D751" t="inlineStr">
        <is>
          <t>W 84 AA1 G35 1998</t>
        </is>
      </c>
      <c r="E751" t="inlineStr">
        <is>
          <t>0                      W  0084000AA 1                  G  35          1998</t>
        </is>
      </c>
      <c r="F751" t="inlineStr">
        <is>
          <t>Getting doctors to listen : ethics and outcomes data in context / edited by Philip J. Boyle.</t>
        </is>
      </c>
      <c r="H751" t="inlineStr">
        <is>
          <t>No</t>
        </is>
      </c>
      <c r="I751" t="inlineStr">
        <is>
          <t>1</t>
        </is>
      </c>
      <c r="J751" t="inlineStr">
        <is>
          <t>No</t>
        </is>
      </c>
      <c r="K751" t="inlineStr">
        <is>
          <t>No</t>
        </is>
      </c>
      <c r="L751" t="inlineStr">
        <is>
          <t>0</t>
        </is>
      </c>
      <c r="N751" t="inlineStr">
        <is>
          <t>Washington, D.C. : Georgetown University Press, c1998.</t>
        </is>
      </c>
      <c r="O751" t="inlineStr">
        <is>
          <t>1998</t>
        </is>
      </c>
      <c r="Q751" t="inlineStr">
        <is>
          <t>eng</t>
        </is>
      </c>
      <c r="R751" t="inlineStr">
        <is>
          <t>dcu</t>
        </is>
      </c>
      <c r="S751" t="inlineStr">
        <is>
          <t>Hastings Center studies in ethics</t>
        </is>
      </c>
      <c r="T751" t="inlineStr">
        <is>
          <t xml:space="preserve">W  </t>
        </is>
      </c>
      <c r="U751" t="n">
        <v>3</v>
      </c>
      <c r="V751" t="n">
        <v>3</v>
      </c>
      <c r="W751" t="inlineStr">
        <is>
          <t>1999-02-12</t>
        </is>
      </c>
      <c r="X751" t="inlineStr">
        <is>
          <t>1999-02-12</t>
        </is>
      </c>
      <c r="Y751" t="inlineStr">
        <is>
          <t>1999-02-12</t>
        </is>
      </c>
      <c r="Z751" t="inlineStr">
        <is>
          <t>1999-02-12</t>
        </is>
      </c>
      <c r="AA751" t="n">
        <v>207</v>
      </c>
      <c r="AB751" t="n">
        <v>174</v>
      </c>
      <c r="AC751" t="n">
        <v>206</v>
      </c>
      <c r="AD751" t="n">
        <v>1</v>
      </c>
      <c r="AE751" t="n">
        <v>1</v>
      </c>
      <c r="AF751" t="n">
        <v>13</v>
      </c>
      <c r="AG751" t="n">
        <v>15</v>
      </c>
      <c r="AH751" t="n">
        <v>3</v>
      </c>
      <c r="AI751" t="n">
        <v>4</v>
      </c>
      <c r="AJ751" t="n">
        <v>2</v>
      </c>
      <c r="AK751" t="n">
        <v>2</v>
      </c>
      <c r="AL751" t="n">
        <v>9</v>
      </c>
      <c r="AM751" t="n">
        <v>11</v>
      </c>
      <c r="AN751" t="n">
        <v>0</v>
      </c>
      <c r="AO751" t="n">
        <v>0</v>
      </c>
      <c r="AP751" t="n">
        <v>2</v>
      </c>
      <c r="AQ751" t="n">
        <v>2</v>
      </c>
      <c r="AR751" t="inlineStr">
        <is>
          <t>No</t>
        </is>
      </c>
      <c r="AS751" t="inlineStr">
        <is>
          <t>Yes</t>
        </is>
      </c>
      <c r="AT751">
        <f>HYPERLINK("http://catalog.hathitrust.org/Record/003297003","HathiTrust Record")</f>
        <v/>
      </c>
      <c r="AU751">
        <f>HYPERLINK("https://creighton-primo.hosted.exlibrisgroup.com/primo-explore/search?tab=default_tab&amp;search_scope=EVERYTHING&amp;vid=01CRU&amp;lang=en_US&amp;offset=0&amp;query=any,contains,991001568069702656","Catalog Record")</f>
        <v/>
      </c>
      <c r="AV751">
        <f>HYPERLINK("http://www.worldcat.org/oclc/36501355","WorldCat Record")</f>
        <v/>
      </c>
      <c r="AW751" t="inlineStr">
        <is>
          <t>56158002:eng</t>
        </is>
      </c>
      <c r="AX751" t="inlineStr">
        <is>
          <t>36501355</t>
        </is>
      </c>
      <c r="AY751" t="inlineStr">
        <is>
          <t>991001568069702656</t>
        </is>
      </c>
      <c r="AZ751" t="inlineStr">
        <is>
          <t>991001568069702656</t>
        </is>
      </c>
      <c r="BA751" t="inlineStr">
        <is>
          <t>2267860990002656</t>
        </is>
      </c>
      <c r="BB751" t="inlineStr">
        <is>
          <t>BOOK</t>
        </is>
      </c>
      <c r="BD751" t="inlineStr">
        <is>
          <t>9780878406548</t>
        </is>
      </c>
      <c r="BE751" t="inlineStr">
        <is>
          <t>30001003961556</t>
        </is>
      </c>
      <c r="BF751" t="inlineStr">
        <is>
          <t>893741260</t>
        </is>
      </c>
    </row>
    <row r="752">
      <c r="A752" t="inlineStr">
        <is>
          <t>No</t>
        </is>
      </c>
      <c r="B752" t="inlineStr">
        <is>
          <t>CUHSL</t>
        </is>
      </c>
      <c r="C752" t="inlineStr">
        <is>
          <t>SHELVES</t>
        </is>
      </c>
      <c r="D752" t="inlineStr">
        <is>
          <t>W 84 AA1 G4m 1990</t>
        </is>
      </c>
      <c r="E752" t="inlineStr">
        <is>
          <t>0                      W  0084000AA 1                  G  4m          1990</t>
        </is>
      </c>
      <c r="F752" t="inlineStr">
        <is>
          <t>The medical triangle : physicians, politicians, and the public / Eli Ginzberg.</t>
        </is>
      </c>
      <c r="H752" t="inlineStr">
        <is>
          <t>No</t>
        </is>
      </c>
      <c r="I752" t="inlineStr">
        <is>
          <t>1</t>
        </is>
      </c>
      <c r="J752" t="inlineStr">
        <is>
          <t>Yes</t>
        </is>
      </c>
      <c r="K752" t="inlineStr">
        <is>
          <t>No</t>
        </is>
      </c>
      <c r="L752" t="inlineStr">
        <is>
          <t>0</t>
        </is>
      </c>
      <c r="M752" t="inlineStr">
        <is>
          <t>Ginzberg, Eli, 1911-2002.</t>
        </is>
      </c>
      <c r="N752" t="inlineStr">
        <is>
          <t>Cambridge, Mass. : Harvard University Press, c1990.</t>
        </is>
      </c>
      <c r="O752" t="inlineStr">
        <is>
          <t>1990</t>
        </is>
      </c>
      <c r="Q752" t="inlineStr">
        <is>
          <t>eng</t>
        </is>
      </c>
      <c r="R752" t="inlineStr">
        <is>
          <t>xxu</t>
        </is>
      </c>
      <c r="T752" t="inlineStr">
        <is>
          <t xml:space="preserve">W  </t>
        </is>
      </c>
      <c r="U752" t="n">
        <v>7</v>
      </c>
      <c r="V752" t="n">
        <v>7</v>
      </c>
      <c r="W752" t="inlineStr">
        <is>
          <t>1993-08-03</t>
        </is>
      </c>
      <c r="X752" t="inlineStr">
        <is>
          <t>1993-08-03</t>
        </is>
      </c>
      <c r="Y752" t="inlineStr">
        <is>
          <t>1990-06-15</t>
        </is>
      </c>
      <c r="Z752" t="inlineStr">
        <is>
          <t>1990-06-15</t>
        </is>
      </c>
      <c r="AA752" t="n">
        <v>675</v>
      </c>
      <c r="AB752" t="n">
        <v>594</v>
      </c>
      <c r="AC752" t="n">
        <v>599</v>
      </c>
      <c r="AD752" t="n">
        <v>4</v>
      </c>
      <c r="AE752" t="n">
        <v>4</v>
      </c>
      <c r="AF752" t="n">
        <v>27</v>
      </c>
      <c r="AG752" t="n">
        <v>27</v>
      </c>
      <c r="AH752" t="n">
        <v>8</v>
      </c>
      <c r="AI752" t="n">
        <v>8</v>
      </c>
      <c r="AJ752" t="n">
        <v>6</v>
      </c>
      <c r="AK752" t="n">
        <v>6</v>
      </c>
      <c r="AL752" t="n">
        <v>12</v>
      </c>
      <c r="AM752" t="n">
        <v>12</v>
      </c>
      <c r="AN752" t="n">
        <v>2</v>
      </c>
      <c r="AO752" t="n">
        <v>2</v>
      </c>
      <c r="AP752" t="n">
        <v>7</v>
      </c>
      <c r="AQ752" t="n">
        <v>7</v>
      </c>
      <c r="AR752" t="inlineStr">
        <is>
          <t>No</t>
        </is>
      </c>
      <c r="AS752" t="inlineStr">
        <is>
          <t>No</t>
        </is>
      </c>
      <c r="AU752">
        <f>HYPERLINK("https://creighton-primo.hosted.exlibrisgroup.com/primo-explore/search?tab=default_tab&amp;search_scope=EVERYTHING&amp;vid=01CRU&amp;lang=en_US&amp;offset=0&amp;query=any,contains,991001449109702656","Catalog Record")</f>
        <v/>
      </c>
      <c r="AV752">
        <f>HYPERLINK("http://www.worldcat.org/oclc/20492239","WorldCat Record")</f>
        <v/>
      </c>
      <c r="AW752" t="inlineStr">
        <is>
          <t>836735554:eng</t>
        </is>
      </c>
      <c r="AX752" t="inlineStr">
        <is>
          <t>20492239</t>
        </is>
      </c>
      <c r="AY752" t="inlineStr">
        <is>
          <t>991001449109702656</t>
        </is>
      </c>
      <c r="AZ752" t="inlineStr">
        <is>
          <t>991001449109702656</t>
        </is>
      </c>
      <c r="BA752" t="inlineStr">
        <is>
          <t>2267885640002656</t>
        </is>
      </c>
      <c r="BB752" t="inlineStr">
        <is>
          <t>BOOK</t>
        </is>
      </c>
      <c r="BD752" t="inlineStr">
        <is>
          <t>9780674563254</t>
        </is>
      </c>
      <c r="BE752" t="inlineStr">
        <is>
          <t>30001001882234</t>
        </is>
      </c>
      <c r="BF752" t="inlineStr">
        <is>
          <t>893541420</t>
        </is>
      </c>
    </row>
    <row r="753">
      <c r="A753" t="inlineStr">
        <is>
          <t>No</t>
        </is>
      </c>
      <c r="B753" t="inlineStr">
        <is>
          <t>CUHSL</t>
        </is>
      </c>
      <c r="C753" t="inlineStr">
        <is>
          <t>SHELVES</t>
        </is>
      </c>
      <c r="D753" t="inlineStr">
        <is>
          <t>W 84 AA1 G626 1998</t>
        </is>
      </c>
      <c r="E753" t="inlineStr">
        <is>
          <t>0                      W  0084000AA 1                  G  626         1998</t>
        </is>
      </c>
      <c r="F753" t="inlineStr">
        <is>
          <t>Society's mirror : reflections on health care reform / John W. Gollatz.</t>
        </is>
      </c>
      <c r="H753" t="inlineStr">
        <is>
          <t>No</t>
        </is>
      </c>
      <c r="I753" t="inlineStr">
        <is>
          <t>1</t>
        </is>
      </c>
      <c r="J753" t="inlineStr">
        <is>
          <t>No</t>
        </is>
      </c>
      <c r="K753" t="inlineStr">
        <is>
          <t>No</t>
        </is>
      </c>
      <c r="L753" t="inlineStr">
        <is>
          <t>0</t>
        </is>
      </c>
      <c r="M753" t="inlineStr">
        <is>
          <t>Gollatz, John W., 1945-</t>
        </is>
      </c>
      <c r="N753" t="inlineStr">
        <is>
          <t>Los Angeles, Calif. : Health Information Press, c1998.</t>
        </is>
      </c>
      <c r="O753" t="inlineStr">
        <is>
          <t>1998</t>
        </is>
      </c>
      <c r="Q753" t="inlineStr">
        <is>
          <t>eng</t>
        </is>
      </c>
      <c r="R753" t="inlineStr">
        <is>
          <t>cau</t>
        </is>
      </c>
      <c r="T753" t="inlineStr">
        <is>
          <t xml:space="preserve">W  </t>
        </is>
      </c>
      <c r="U753" t="n">
        <v>1</v>
      </c>
      <c r="V753" t="n">
        <v>1</v>
      </c>
      <c r="W753" t="inlineStr">
        <is>
          <t>2004-09-24</t>
        </is>
      </c>
      <c r="X753" t="inlineStr">
        <is>
          <t>2004-09-24</t>
        </is>
      </c>
      <c r="Y753" t="inlineStr">
        <is>
          <t>2004-09-24</t>
        </is>
      </c>
      <c r="Z753" t="inlineStr">
        <is>
          <t>2004-09-24</t>
        </is>
      </c>
      <c r="AA753" t="n">
        <v>49</v>
      </c>
      <c r="AB753" t="n">
        <v>43</v>
      </c>
      <c r="AC753" t="n">
        <v>48</v>
      </c>
      <c r="AD753" t="n">
        <v>1</v>
      </c>
      <c r="AE753" t="n">
        <v>1</v>
      </c>
      <c r="AF753" t="n">
        <v>0</v>
      </c>
      <c r="AG753" t="n">
        <v>0</v>
      </c>
      <c r="AH753" t="n">
        <v>0</v>
      </c>
      <c r="AI753" t="n">
        <v>0</v>
      </c>
      <c r="AJ753" t="n">
        <v>0</v>
      </c>
      <c r="AK753" t="n">
        <v>0</v>
      </c>
      <c r="AL753" t="n">
        <v>0</v>
      </c>
      <c r="AM753" t="n">
        <v>0</v>
      </c>
      <c r="AN753" t="n">
        <v>0</v>
      </c>
      <c r="AO753" t="n">
        <v>0</v>
      </c>
      <c r="AP753" t="n">
        <v>0</v>
      </c>
      <c r="AQ753" t="n">
        <v>0</v>
      </c>
      <c r="AR753" t="inlineStr">
        <is>
          <t>No</t>
        </is>
      </c>
      <c r="AS753" t="inlineStr">
        <is>
          <t>No</t>
        </is>
      </c>
      <c r="AU753">
        <f>HYPERLINK("https://creighton-primo.hosted.exlibrisgroup.com/primo-explore/search?tab=default_tab&amp;search_scope=EVERYTHING&amp;vid=01CRU&amp;lang=en_US&amp;offset=0&amp;query=any,contains,991000396899702656","Catalog Record")</f>
        <v/>
      </c>
      <c r="AV753">
        <f>HYPERLINK("http://www.worldcat.org/oclc/37806142","WorldCat Record")</f>
        <v/>
      </c>
      <c r="AW753" t="inlineStr">
        <is>
          <t>622335:eng</t>
        </is>
      </c>
      <c r="AX753" t="inlineStr">
        <is>
          <t>37806142</t>
        </is>
      </c>
      <c r="AY753" t="inlineStr">
        <is>
          <t>991000396899702656</t>
        </is>
      </c>
      <c r="AZ753" t="inlineStr">
        <is>
          <t>991000396899702656</t>
        </is>
      </c>
      <c r="BA753" t="inlineStr">
        <is>
          <t>2259209080002656</t>
        </is>
      </c>
      <c r="BB753" t="inlineStr">
        <is>
          <t>BOOK</t>
        </is>
      </c>
      <c r="BD753" t="inlineStr">
        <is>
          <t>9781885987099</t>
        </is>
      </c>
      <c r="BE753" t="inlineStr">
        <is>
          <t>30001004978971</t>
        </is>
      </c>
      <c r="BF753" t="inlineStr">
        <is>
          <t>893354273</t>
        </is>
      </c>
    </row>
    <row r="754">
      <c r="A754" t="inlineStr">
        <is>
          <t>No</t>
        </is>
      </c>
      <c r="B754" t="inlineStr">
        <is>
          <t>CUHSL</t>
        </is>
      </c>
      <c r="C754" t="inlineStr">
        <is>
          <t>SHELVES</t>
        </is>
      </c>
      <c r="D754" t="inlineStr">
        <is>
          <t>W 84 AA1 G816d 1998</t>
        </is>
      </c>
      <c r="E754" t="inlineStr">
        <is>
          <t>0                      W  0084000AA 1                  G  816d        1998</t>
        </is>
      </c>
      <c r="F754" t="inlineStr">
        <is>
          <t>Designing 21st century healthcare : leadership in hospitals and healthcare systems / John R. Griffith.</t>
        </is>
      </c>
      <c r="H754" t="inlineStr">
        <is>
          <t>No</t>
        </is>
      </c>
      <c r="I754" t="inlineStr">
        <is>
          <t>1</t>
        </is>
      </c>
      <c r="J754" t="inlineStr">
        <is>
          <t>No</t>
        </is>
      </c>
      <c r="K754" t="inlineStr">
        <is>
          <t>No</t>
        </is>
      </c>
      <c r="L754" t="inlineStr">
        <is>
          <t>1</t>
        </is>
      </c>
      <c r="M754" t="inlineStr">
        <is>
          <t>Griffith, John R.</t>
        </is>
      </c>
      <c r="N754" t="inlineStr">
        <is>
          <t>Chicago, Ill. : Health Administration Press, c1998.</t>
        </is>
      </c>
      <c r="O754" t="inlineStr">
        <is>
          <t>1998</t>
        </is>
      </c>
      <c r="Q754" t="inlineStr">
        <is>
          <t>eng</t>
        </is>
      </c>
      <c r="R754" t="inlineStr">
        <is>
          <t>ilu</t>
        </is>
      </c>
      <c r="T754" t="inlineStr">
        <is>
          <t xml:space="preserve">W  </t>
        </is>
      </c>
      <c r="U754" t="n">
        <v>7</v>
      </c>
      <c r="V754" t="n">
        <v>7</v>
      </c>
      <c r="W754" t="inlineStr">
        <is>
          <t>2001-11-28</t>
        </is>
      </c>
      <c r="X754" t="inlineStr">
        <is>
          <t>2001-11-28</t>
        </is>
      </c>
      <c r="Y754" t="inlineStr">
        <is>
          <t>1999-02-19</t>
        </is>
      </c>
      <c r="Z754" t="inlineStr">
        <is>
          <t>1999-02-19</t>
        </is>
      </c>
      <c r="AA754" t="n">
        <v>140</v>
      </c>
      <c r="AB754" t="n">
        <v>131</v>
      </c>
      <c r="AC754" t="n">
        <v>1149</v>
      </c>
      <c r="AD754" t="n">
        <v>3</v>
      </c>
      <c r="AE754" t="n">
        <v>30</v>
      </c>
      <c r="AF754" t="n">
        <v>11</v>
      </c>
      <c r="AG754" t="n">
        <v>39</v>
      </c>
      <c r="AH754" t="n">
        <v>2</v>
      </c>
      <c r="AI754" t="n">
        <v>11</v>
      </c>
      <c r="AJ754" t="n">
        <v>3</v>
      </c>
      <c r="AK754" t="n">
        <v>6</v>
      </c>
      <c r="AL754" t="n">
        <v>7</v>
      </c>
      <c r="AM754" t="n">
        <v>13</v>
      </c>
      <c r="AN754" t="n">
        <v>2</v>
      </c>
      <c r="AO754" t="n">
        <v>15</v>
      </c>
      <c r="AP754" t="n">
        <v>0</v>
      </c>
      <c r="AQ754" t="n">
        <v>0</v>
      </c>
      <c r="AR754" t="inlineStr">
        <is>
          <t>No</t>
        </is>
      </c>
      <c r="AS754" t="inlineStr">
        <is>
          <t>Yes</t>
        </is>
      </c>
      <c r="AT754">
        <f>HYPERLINK("http://catalog.hathitrust.org/Record/004010871","HathiTrust Record")</f>
        <v/>
      </c>
      <c r="AU754">
        <f>HYPERLINK("https://creighton-primo.hosted.exlibrisgroup.com/primo-explore/search?tab=default_tab&amp;search_scope=EVERYTHING&amp;vid=01CRU&amp;lang=en_US&amp;offset=0&amp;query=any,contains,991000876899702656","Catalog Record")</f>
        <v/>
      </c>
      <c r="AV754">
        <f>HYPERLINK("http://www.worldcat.org/oclc/38898909","WorldCat Record")</f>
        <v/>
      </c>
      <c r="AW754" t="inlineStr">
        <is>
          <t>862865151:eng</t>
        </is>
      </c>
      <c r="AX754" t="inlineStr">
        <is>
          <t>38898909</t>
        </is>
      </c>
      <c r="AY754" t="inlineStr">
        <is>
          <t>991000876899702656</t>
        </is>
      </c>
      <c r="AZ754" t="inlineStr">
        <is>
          <t>991000876899702656</t>
        </is>
      </c>
      <c r="BA754" t="inlineStr">
        <is>
          <t>2260995440002656</t>
        </is>
      </c>
      <c r="BB754" t="inlineStr">
        <is>
          <t>BOOK</t>
        </is>
      </c>
      <c r="BD754" t="inlineStr">
        <is>
          <t>9781567930870</t>
        </is>
      </c>
      <c r="BE754" t="inlineStr">
        <is>
          <t>30001004159580</t>
        </is>
      </c>
      <c r="BF754" t="inlineStr">
        <is>
          <t>893357978</t>
        </is>
      </c>
    </row>
    <row r="755">
      <c r="A755" t="inlineStr">
        <is>
          <t>No</t>
        </is>
      </c>
      <c r="B755" t="inlineStr">
        <is>
          <t>CUHSL</t>
        </is>
      </c>
      <c r="C755" t="inlineStr">
        <is>
          <t>SHELVES</t>
        </is>
      </c>
      <c r="D755" t="inlineStr">
        <is>
          <t>W 84 AA1 G816w 2002</t>
        </is>
      </c>
      <c r="E755" t="inlineStr">
        <is>
          <t>0                      W  0084000AA 1                  G  816w        2002</t>
        </is>
      </c>
      <c r="F755" t="inlineStr">
        <is>
          <t>The well-managed healthcare organization / John R. Griffith, Kenneth R. White.</t>
        </is>
      </c>
      <c r="H755" t="inlineStr">
        <is>
          <t>No</t>
        </is>
      </c>
      <c r="I755" t="inlineStr">
        <is>
          <t>1</t>
        </is>
      </c>
      <c r="J755" t="inlineStr">
        <is>
          <t>No</t>
        </is>
      </c>
      <c r="K755" t="inlineStr">
        <is>
          <t>Yes</t>
        </is>
      </c>
      <c r="L755" t="inlineStr">
        <is>
          <t>5</t>
        </is>
      </c>
      <c r="M755" t="inlineStr">
        <is>
          <t>Griffith, John R.</t>
        </is>
      </c>
      <c r="N755" t="inlineStr">
        <is>
          <t>Chicago, IL : AUPHA Press ; Washington, DC : Association of University Programs in Health Administration, c2002.</t>
        </is>
      </c>
      <c r="O755" t="inlineStr">
        <is>
          <t>2002</t>
        </is>
      </c>
      <c r="P755" t="inlineStr">
        <is>
          <t>5th ed.</t>
        </is>
      </c>
      <c r="Q755" t="inlineStr">
        <is>
          <t>eng</t>
        </is>
      </c>
      <c r="R755" t="inlineStr">
        <is>
          <t>ilu</t>
        </is>
      </c>
      <c r="T755" t="inlineStr">
        <is>
          <t xml:space="preserve">W  </t>
        </is>
      </c>
      <c r="U755" t="n">
        <v>3</v>
      </c>
      <c r="V755" t="n">
        <v>3</v>
      </c>
      <c r="W755" t="inlineStr">
        <is>
          <t>2009-01-27</t>
        </is>
      </c>
      <c r="X755" t="inlineStr">
        <is>
          <t>2009-01-27</t>
        </is>
      </c>
      <c r="Y755" t="inlineStr">
        <is>
          <t>2009-01-19</t>
        </is>
      </c>
      <c r="Z755" t="inlineStr">
        <is>
          <t>2009-01-19</t>
        </is>
      </c>
      <c r="AA755" t="n">
        <v>116</v>
      </c>
      <c r="AB755" t="n">
        <v>103</v>
      </c>
      <c r="AC755" t="n">
        <v>2149</v>
      </c>
      <c r="AD755" t="n">
        <v>2</v>
      </c>
      <c r="AE755" t="n">
        <v>42</v>
      </c>
      <c r="AF755" t="n">
        <v>6</v>
      </c>
      <c r="AG755" t="n">
        <v>64</v>
      </c>
      <c r="AH755" t="n">
        <v>1</v>
      </c>
      <c r="AI755" t="n">
        <v>22</v>
      </c>
      <c r="AJ755" t="n">
        <v>2</v>
      </c>
      <c r="AK755" t="n">
        <v>11</v>
      </c>
      <c r="AL755" t="n">
        <v>6</v>
      </c>
      <c r="AM755" t="n">
        <v>21</v>
      </c>
      <c r="AN755" t="n">
        <v>0</v>
      </c>
      <c r="AO755" t="n">
        <v>18</v>
      </c>
      <c r="AP755" t="n">
        <v>0</v>
      </c>
      <c r="AQ755" t="n">
        <v>3</v>
      </c>
      <c r="AR755" t="inlineStr">
        <is>
          <t>No</t>
        </is>
      </c>
      <c r="AS755" t="inlineStr">
        <is>
          <t>No</t>
        </is>
      </c>
      <c r="AU755">
        <f>HYPERLINK("https://creighton-primo.hosted.exlibrisgroup.com/primo-explore/search?tab=default_tab&amp;search_scope=EVERYTHING&amp;vid=01CRU&amp;lang=en_US&amp;offset=0&amp;query=any,contains,991001343929702656","Catalog Record")</f>
        <v/>
      </c>
      <c r="AV755">
        <f>HYPERLINK("http://www.worldcat.org/oclc/49250232","WorldCat Record")</f>
        <v/>
      </c>
      <c r="AW755" t="inlineStr">
        <is>
          <t>8263144:eng</t>
        </is>
      </c>
      <c r="AX755" t="inlineStr">
        <is>
          <t>49250232</t>
        </is>
      </c>
      <c r="AY755" t="inlineStr">
        <is>
          <t>991001343929702656</t>
        </is>
      </c>
      <c r="AZ755" t="inlineStr">
        <is>
          <t>991001343929702656</t>
        </is>
      </c>
      <c r="BA755" t="inlineStr">
        <is>
          <t>22136059350002656</t>
        </is>
      </c>
      <c r="BB755" t="inlineStr">
        <is>
          <t>BOOK</t>
        </is>
      </c>
      <c r="BD755" t="inlineStr">
        <is>
          <t>9781567931884</t>
        </is>
      </c>
      <c r="BE755" t="inlineStr">
        <is>
          <t>30001004506202</t>
        </is>
      </c>
      <c r="BF755" t="inlineStr">
        <is>
          <t>893826667</t>
        </is>
      </c>
    </row>
    <row r="756">
      <c r="A756" t="inlineStr">
        <is>
          <t>No</t>
        </is>
      </c>
      <c r="B756" t="inlineStr">
        <is>
          <t>CUHSL</t>
        </is>
      </c>
      <c r="C756" t="inlineStr">
        <is>
          <t>SHELVES</t>
        </is>
      </c>
      <c r="D756" t="inlineStr">
        <is>
          <t>W84 AA1 G939 2002</t>
        </is>
      </c>
      <c r="E756" t="inlineStr">
        <is>
          <t>0                      W  0084000AA 1                  G  939         2002</t>
        </is>
      </c>
      <c r="F756" t="inlineStr">
        <is>
          <t>Guidance for the national healthcare disparities report / Elaine K. Swift, editor ; Committee on Guidance for Designing a National Healthcare Disparities Report, Institute of Medicine of the National Academies.</t>
        </is>
      </c>
      <c r="H756" t="inlineStr">
        <is>
          <t>No</t>
        </is>
      </c>
      <c r="I756" t="inlineStr">
        <is>
          <t>1</t>
        </is>
      </c>
      <c r="J756" t="inlineStr">
        <is>
          <t>No</t>
        </is>
      </c>
      <c r="K756" t="inlineStr">
        <is>
          <t>No</t>
        </is>
      </c>
      <c r="L756" t="inlineStr">
        <is>
          <t>2</t>
        </is>
      </c>
      <c r="N756" t="inlineStr">
        <is>
          <t>Washington, D.C. : National Academies Press, c2002.</t>
        </is>
      </c>
      <c r="O756" t="inlineStr">
        <is>
          <t>2002</t>
        </is>
      </c>
      <c r="Q756" t="inlineStr">
        <is>
          <t>eng</t>
        </is>
      </c>
      <c r="R756" t="inlineStr">
        <is>
          <t>dcu</t>
        </is>
      </c>
      <c r="T756" t="inlineStr">
        <is>
          <t xml:space="preserve">W  </t>
        </is>
      </c>
      <c r="U756" t="n">
        <v>2</v>
      </c>
      <c r="V756" t="n">
        <v>2</v>
      </c>
      <c r="W756" t="inlineStr">
        <is>
          <t>2006-04-26</t>
        </is>
      </c>
      <c r="X756" t="inlineStr">
        <is>
          <t>2006-04-26</t>
        </is>
      </c>
      <c r="Y756" t="inlineStr">
        <is>
          <t>2005-06-08</t>
        </is>
      </c>
      <c r="Z756" t="inlineStr">
        <is>
          <t>2005-06-08</t>
        </is>
      </c>
      <c r="AA756" t="n">
        <v>164</v>
      </c>
      <c r="AB756" t="n">
        <v>150</v>
      </c>
      <c r="AC756" t="n">
        <v>1167</v>
      </c>
      <c r="AD756" t="n">
        <v>1</v>
      </c>
      <c r="AE756" t="n">
        <v>14</v>
      </c>
      <c r="AF756" t="n">
        <v>2</v>
      </c>
      <c r="AG756" t="n">
        <v>44</v>
      </c>
      <c r="AH756" t="n">
        <v>0</v>
      </c>
      <c r="AI756" t="n">
        <v>13</v>
      </c>
      <c r="AJ756" t="n">
        <v>0</v>
      </c>
      <c r="AK756" t="n">
        <v>9</v>
      </c>
      <c r="AL756" t="n">
        <v>2</v>
      </c>
      <c r="AM756" t="n">
        <v>14</v>
      </c>
      <c r="AN756" t="n">
        <v>0</v>
      </c>
      <c r="AO756" t="n">
        <v>12</v>
      </c>
      <c r="AP756" t="n">
        <v>0</v>
      </c>
      <c r="AQ756" t="n">
        <v>2</v>
      </c>
      <c r="AR756" t="inlineStr">
        <is>
          <t>No</t>
        </is>
      </c>
      <c r="AS756" t="inlineStr">
        <is>
          <t>Yes</t>
        </is>
      </c>
      <c r="AT756">
        <f>HYPERLINK("http://catalog.hathitrust.org/Record/004293240","HathiTrust Record")</f>
        <v/>
      </c>
      <c r="AU756">
        <f>HYPERLINK("https://creighton-primo.hosted.exlibrisgroup.com/primo-explore/search?tab=default_tab&amp;search_scope=EVERYTHING&amp;vid=01CRU&amp;lang=en_US&amp;offset=0&amp;query=any,contains,991000439669702656","Catalog Record")</f>
        <v/>
      </c>
      <c r="AV756">
        <f>HYPERLINK("http://www.worldcat.org/oclc/50805588","WorldCat Record")</f>
        <v/>
      </c>
      <c r="AW756" t="inlineStr">
        <is>
          <t>1013291747:eng</t>
        </is>
      </c>
      <c r="AX756" t="inlineStr">
        <is>
          <t>50805588</t>
        </is>
      </c>
      <c r="AY756" t="inlineStr">
        <is>
          <t>991000439669702656</t>
        </is>
      </c>
      <c r="AZ756" t="inlineStr">
        <is>
          <t>991000439669702656</t>
        </is>
      </c>
      <c r="BA756" t="inlineStr">
        <is>
          <t>2257000930002656</t>
        </is>
      </c>
      <c r="BB756" t="inlineStr">
        <is>
          <t>BOOK</t>
        </is>
      </c>
      <c r="BD756" t="inlineStr">
        <is>
          <t>9780309085199</t>
        </is>
      </c>
      <c r="BE756" t="inlineStr">
        <is>
          <t>30001004929818</t>
        </is>
      </c>
      <c r="BF756" t="inlineStr">
        <is>
          <t>893537244</t>
        </is>
      </c>
    </row>
    <row r="757">
      <c r="A757" t="inlineStr">
        <is>
          <t>No</t>
        </is>
      </c>
      <c r="B757" t="inlineStr">
        <is>
          <t>CUHSL</t>
        </is>
      </c>
      <c r="C757" t="inlineStr">
        <is>
          <t>SHELVES</t>
        </is>
      </c>
      <c r="D757" t="inlineStr">
        <is>
          <t>W 84 AA1 H23 1983</t>
        </is>
      </c>
      <c r="E757" t="inlineStr">
        <is>
          <t>0                      W  0084000AA 1                  H  23          1983</t>
        </is>
      </c>
      <c r="F757" t="inlineStr">
        <is>
          <t>Handbook of health, health care, and the health professions / edited by David Mechanic.</t>
        </is>
      </c>
      <c r="H757" t="inlineStr">
        <is>
          <t>No</t>
        </is>
      </c>
      <c r="I757" t="inlineStr">
        <is>
          <t>1</t>
        </is>
      </c>
      <c r="J757" t="inlineStr">
        <is>
          <t>No</t>
        </is>
      </c>
      <c r="K757" t="inlineStr">
        <is>
          <t>No</t>
        </is>
      </c>
      <c r="L757" t="inlineStr">
        <is>
          <t>0</t>
        </is>
      </c>
      <c r="N757" t="inlineStr">
        <is>
          <t>New York : Free Press, c1983.</t>
        </is>
      </c>
      <c r="O757" t="inlineStr">
        <is>
          <t>1983</t>
        </is>
      </c>
      <c r="Q757" t="inlineStr">
        <is>
          <t>eng</t>
        </is>
      </c>
      <c r="R757" t="inlineStr">
        <is>
          <t>xxu</t>
        </is>
      </c>
      <c r="T757" t="inlineStr">
        <is>
          <t xml:space="preserve">W  </t>
        </is>
      </c>
      <c r="U757" t="n">
        <v>14</v>
      </c>
      <c r="V757" t="n">
        <v>14</v>
      </c>
      <c r="W757" t="inlineStr">
        <is>
          <t>1990-11-01</t>
        </is>
      </c>
      <c r="X757" t="inlineStr">
        <is>
          <t>1990-11-01</t>
        </is>
      </c>
      <c r="Y757" t="inlineStr">
        <is>
          <t>1987-12-21</t>
        </is>
      </c>
      <c r="Z757" t="inlineStr">
        <is>
          <t>1987-12-21</t>
        </is>
      </c>
      <c r="AA757" t="n">
        <v>518</v>
      </c>
      <c r="AB757" t="n">
        <v>416</v>
      </c>
      <c r="AC757" t="n">
        <v>423</v>
      </c>
      <c r="AD757" t="n">
        <v>1</v>
      </c>
      <c r="AE757" t="n">
        <v>1</v>
      </c>
      <c r="AF757" t="n">
        <v>20</v>
      </c>
      <c r="AG757" t="n">
        <v>20</v>
      </c>
      <c r="AH757" t="n">
        <v>8</v>
      </c>
      <c r="AI757" t="n">
        <v>8</v>
      </c>
      <c r="AJ757" t="n">
        <v>5</v>
      </c>
      <c r="AK757" t="n">
        <v>5</v>
      </c>
      <c r="AL757" t="n">
        <v>13</v>
      </c>
      <c r="AM757" t="n">
        <v>13</v>
      </c>
      <c r="AN757" t="n">
        <v>0</v>
      </c>
      <c r="AO757" t="n">
        <v>0</v>
      </c>
      <c r="AP757" t="n">
        <v>1</v>
      </c>
      <c r="AQ757" t="n">
        <v>1</v>
      </c>
      <c r="AR757" t="inlineStr">
        <is>
          <t>No</t>
        </is>
      </c>
      <c r="AS757" t="inlineStr">
        <is>
          <t>Yes</t>
        </is>
      </c>
      <c r="AT757">
        <f>HYPERLINK("http://catalog.hathitrust.org/Record/000190999","HathiTrust Record")</f>
        <v/>
      </c>
      <c r="AU757">
        <f>HYPERLINK("https://creighton-primo.hosted.exlibrisgroup.com/primo-explore/search?tab=default_tab&amp;search_scope=EVERYTHING&amp;vid=01CRU&amp;lang=en_US&amp;offset=0&amp;query=any,contains,991000655409702656","Catalog Record")</f>
        <v/>
      </c>
      <c r="AV757">
        <f>HYPERLINK("http://www.worldcat.org/oclc/8533525","WorldCat Record")</f>
        <v/>
      </c>
      <c r="AW757" t="inlineStr">
        <is>
          <t>400668:eng</t>
        </is>
      </c>
      <c r="AX757" t="inlineStr">
        <is>
          <t>8533525</t>
        </is>
      </c>
      <c r="AY757" t="inlineStr">
        <is>
          <t>991000655409702656</t>
        </is>
      </c>
      <c r="AZ757" t="inlineStr">
        <is>
          <t>991000655409702656</t>
        </is>
      </c>
      <c r="BA757" t="inlineStr">
        <is>
          <t>2254781850002656</t>
        </is>
      </c>
      <c r="BB757" t="inlineStr">
        <is>
          <t>BOOK</t>
        </is>
      </c>
      <c r="BD757" t="inlineStr">
        <is>
          <t>9780029206904</t>
        </is>
      </c>
      <c r="BE757" t="inlineStr">
        <is>
          <t>30001000687824</t>
        </is>
      </c>
      <c r="BF757" t="inlineStr">
        <is>
          <t>893267060</t>
        </is>
      </c>
    </row>
    <row r="758">
      <c r="A758" t="inlineStr">
        <is>
          <t>No</t>
        </is>
      </c>
      <c r="B758" t="inlineStr">
        <is>
          <t>CUHSL</t>
        </is>
      </c>
      <c r="C758" t="inlineStr">
        <is>
          <t>SHELVES</t>
        </is>
      </c>
      <c r="D758" t="inlineStr">
        <is>
          <t>W 84 AA1 H3753 1997</t>
        </is>
      </c>
      <c r="E758" t="inlineStr">
        <is>
          <t>0                      W  0084000AA 1                  H  3753        1997</t>
        </is>
      </c>
      <c r="F758" t="inlineStr">
        <is>
          <t>Health care choice for today's consumer : guide to quality &amp; cost / edited by Marc S. Miller.</t>
        </is>
      </c>
      <c r="H758" t="inlineStr">
        <is>
          <t>No</t>
        </is>
      </c>
      <c r="I758" t="inlineStr">
        <is>
          <t>1</t>
        </is>
      </c>
      <c r="J758" t="inlineStr">
        <is>
          <t>No</t>
        </is>
      </c>
      <c r="K758" t="inlineStr">
        <is>
          <t>No</t>
        </is>
      </c>
      <c r="L758" t="inlineStr">
        <is>
          <t>0</t>
        </is>
      </c>
      <c r="N758" t="inlineStr">
        <is>
          <t>New York : Wiley, 1997.</t>
        </is>
      </c>
      <c r="O758" t="inlineStr">
        <is>
          <t>1997</t>
        </is>
      </c>
      <c r="P758" t="inlineStr">
        <is>
          <t>1st John Wiley &amp; Sons, Inc., pbk. ed.; rev. and expanded.</t>
        </is>
      </c>
      <c r="Q758" t="inlineStr">
        <is>
          <t>eng</t>
        </is>
      </c>
      <c r="R758" t="inlineStr">
        <is>
          <t>nyu</t>
        </is>
      </c>
      <c r="T758" t="inlineStr">
        <is>
          <t xml:space="preserve">W  </t>
        </is>
      </c>
      <c r="U758" t="n">
        <v>1</v>
      </c>
      <c r="V758" t="n">
        <v>1</v>
      </c>
      <c r="W758" t="inlineStr">
        <is>
          <t>2008-02-20</t>
        </is>
      </c>
      <c r="X758" t="inlineStr">
        <is>
          <t>2008-02-20</t>
        </is>
      </c>
      <c r="Y758" t="inlineStr">
        <is>
          <t>2004-09-24</t>
        </is>
      </c>
      <c r="Z758" t="inlineStr">
        <is>
          <t>2004-09-24</t>
        </is>
      </c>
      <c r="AA758" t="n">
        <v>202</v>
      </c>
      <c r="AB758" t="n">
        <v>195</v>
      </c>
      <c r="AC758" t="n">
        <v>405</v>
      </c>
      <c r="AD758" t="n">
        <v>2</v>
      </c>
      <c r="AE758" t="n">
        <v>2</v>
      </c>
      <c r="AF758" t="n">
        <v>1</v>
      </c>
      <c r="AG758" t="n">
        <v>6</v>
      </c>
      <c r="AH758" t="n">
        <v>0</v>
      </c>
      <c r="AI758" t="n">
        <v>1</v>
      </c>
      <c r="AJ758" t="n">
        <v>0</v>
      </c>
      <c r="AK758" t="n">
        <v>2</v>
      </c>
      <c r="AL758" t="n">
        <v>0</v>
      </c>
      <c r="AM758" t="n">
        <v>1</v>
      </c>
      <c r="AN758" t="n">
        <v>1</v>
      </c>
      <c r="AO758" t="n">
        <v>1</v>
      </c>
      <c r="AP758" t="n">
        <v>0</v>
      </c>
      <c r="AQ758" t="n">
        <v>2</v>
      </c>
      <c r="AR758" t="inlineStr">
        <is>
          <t>No</t>
        </is>
      </c>
      <c r="AS758" t="inlineStr">
        <is>
          <t>No</t>
        </is>
      </c>
      <c r="AU758">
        <f>HYPERLINK("https://creighton-primo.hosted.exlibrisgroup.com/primo-explore/search?tab=default_tab&amp;search_scope=EVERYTHING&amp;vid=01CRU&amp;lang=en_US&amp;offset=0&amp;query=any,contains,991000397279702656","Catalog Record")</f>
        <v/>
      </c>
      <c r="AV758">
        <f>HYPERLINK("http://www.worldcat.org/oclc/35566015","WorldCat Record")</f>
        <v/>
      </c>
      <c r="AW758" t="inlineStr">
        <is>
          <t>1809530184:eng</t>
        </is>
      </c>
      <c r="AX758" t="inlineStr">
        <is>
          <t>35566015</t>
        </is>
      </c>
      <c r="AY758" t="inlineStr">
        <is>
          <t>991000397279702656</t>
        </is>
      </c>
      <c r="AZ758" t="inlineStr">
        <is>
          <t>991000397279702656</t>
        </is>
      </c>
      <c r="BA758" t="inlineStr">
        <is>
          <t>2258069020002656</t>
        </is>
      </c>
      <c r="BB758" t="inlineStr">
        <is>
          <t>BOOK</t>
        </is>
      </c>
      <c r="BD758" t="inlineStr">
        <is>
          <t>9780471170907</t>
        </is>
      </c>
      <c r="BE758" t="inlineStr">
        <is>
          <t>30001004978682</t>
        </is>
      </c>
      <c r="BF758" t="inlineStr">
        <is>
          <t>893109512</t>
        </is>
      </c>
    </row>
    <row r="759">
      <c r="A759" t="inlineStr">
        <is>
          <t>No</t>
        </is>
      </c>
      <c r="B759" t="inlineStr">
        <is>
          <t>CUHSL</t>
        </is>
      </c>
      <c r="C759" t="inlineStr">
        <is>
          <t>SHELVES</t>
        </is>
      </c>
      <c r="D759" t="inlineStr">
        <is>
          <t>W 84 AA1 H376 1990</t>
        </is>
      </c>
      <c r="E759" t="inlineStr">
        <is>
          <t>0                      W  0084000AA 1                  H  376         1990</t>
        </is>
      </c>
      <c r="F759" t="inlineStr">
        <is>
          <t>Health care delivery in the United States / Anthony R. Kovner [editor] with contributors ; founding editor, Steven Jonas.</t>
        </is>
      </c>
      <c r="H759" t="inlineStr">
        <is>
          <t>No</t>
        </is>
      </c>
      <c r="I759" t="inlineStr">
        <is>
          <t>1</t>
        </is>
      </c>
      <c r="J759" t="inlineStr">
        <is>
          <t>No</t>
        </is>
      </c>
      <c r="K759" t="inlineStr">
        <is>
          <t>Yes</t>
        </is>
      </c>
      <c r="L759" t="inlineStr">
        <is>
          <t>0</t>
        </is>
      </c>
      <c r="N759" t="inlineStr">
        <is>
          <t>New York : Springer Pub. Co., c1990.</t>
        </is>
      </c>
      <c r="O759" t="inlineStr">
        <is>
          <t>1990</t>
        </is>
      </c>
      <c r="P759" t="inlineStr">
        <is>
          <t>4th ed.</t>
        </is>
      </c>
      <c r="Q759" t="inlineStr">
        <is>
          <t>eng</t>
        </is>
      </c>
      <c r="R759" t="inlineStr">
        <is>
          <t>xxu</t>
        </is>
      </c>
      <c r="T759" t="inlineStr">
        <is>
          <t xml:space="preserve">W  </t>
        </is>
      </c>
      <c r="U759" t="n">
        <v>15</v>
      </c>
      <c r="V759" t="n">
        <v>15</v>
      </c>
      <c r="W759" t="inlineStr">
        <is>
          <t>2004-11-16</t>
        </is>
      </c>
      <c r="X759" t="inlineStr">
        <is>
          <t>2004-11-16</t>
        </is>
      </c>
      <c r="Y759" t="inlineStr">
        <is>
          <t>1990-06-15</t>
        </is>
      </c>
      <c r="Z759" t="inlineStr">
        <is>
          <t>1990-06-15</t>
        </is>
      </c>
      <c r="AA759" t="n">
        <v>285</v>
      </c>
      <c r="AB759" t="n">
        <v>264</v>
      </c>
      <c r="AC759" t="n">
        <v>631</v>
      </c>
      <c r="AD759" t="n">
        <v>2</v>
      </c>
      <c r="AE759" t="n">
        <v>4</v>
      </c>
      <c r="AF759" t="n">
        <v>10</v>
      </c>
      <c r="AG759" t="n">
        <v>24</v>
      </c>
      <c r="AH759" t="n">
        <v>3</v>
      </c>
      <c r="AI759" t="n">
        <v>7</v>
      </c>
      <c r="AJ759" t="n">
        <v>2</v>
      </c>
      <c r="AK759" t="n">
        <v>6</v>
      </c>
      <c r="AL759" t="n">
        <v>5</v>
      </c>
      <c r="AM759" t="n">
        <v>11</v>
      </c>
      <c r="AN759" t="n">
        <v>1</v>
      </c>
      <c r="AO759" t="n">
        <v>3</v>
      </c>
      <c r="AP759" t="n">
        <v>1</v>
      </c>
      <c r="AQ759" t="n">
        <v>2</v>
      </c>
      <c r="AR759" t="inlineStr">
        <is>
          <t>No</t>
        </is>
      </c>
      <c r="AS759" t="inlineStr">
        <is>
          <t>Yes</t>
        </is>
      </c>
      <c r="AT759">
        <f>HYPERLINK("http://catalog.hathitrust.org/Record/002441209","HathiTrust Record")</f>
        <v/>
      </c>
      <c r="AU759">
        <f>HYPERLINK("https://creighton-primo.hosted.exlibrisgroup.com/primo-explore/search?tab=default_tab&amp;search_scope=EVERYTHING&amp;vid=01CRU&amp;lang=en_US&amp;offset=0&amp;query=any,contains,991001449489702656","Catalog Record")</f>
        <v/>
      </c>
      <c r="AV759">
        <f>HYPERLINK("http://www.worldcat.org/oclc/20995256","WorldCat Record")</f>
        <v/>
      </c>
      <c r="AW759" t="inlineStr">
        <is>
          <t>3753289444:eng</t>
        </is>
      </c>
      <c r="AX759" t="inlineStr">
        <is>
          <t>20995256</t>
        </is>
      </c>
      <c r="AY759" t="inlineStr">
        <is>
          <t>991001449489702656</t>
        </is>
      </c>
      <c r="AZ759" t="inlineStr">
        <is>
          <t>991001449489702656</t>
        </is>
      </c>
      <c r="BA759" t="inlineStr">
        <is>
          <t>2268805400002656</t>
        </is>
      </c>
      <c r="BB759" t="inlineStr">
        <is>
          <t>BOOK</t>
        </is>
      </c>
      <c r="BD759" t="inlineStr">
        <is>
          <t>9780826120762</t>
        </is>
      </c>
      <c r="BE759" t="inlineStr">
        <is>
          <t>30001001882366</t>
        </is>
      </c>
      <c r="BF759" t="inlineStr">
        <is>
          <t>893741141</t>
        </is>
      </c>
    </row>
    <row r="760">
      <c r="A760" t="inlineStr">
        <is>
          <t>No</t>
        </is>
      </c>
      <c r="B760" t="inlineStr">
        <is>
          <t>CUHSL</t>
        </is>
      </c>
      <c r="C760" t="inlineStr">
        <is>
          <t>SHELVES</t>
        </is>
      </c>
      <c r="D760" t="inlineStr">
        <is>
          <t>W 84 AA1 H393n 1985</t>
        </is>
      </c>
      <c r="E760" t="inlineStr">
        <is>
          <t>0                      W  0084000AA 1                  H  393n        1985</t>
        </is>
      </c>
      <c r="F760" t="inlineStr">
        <is>
          <t>Nursing and the American health care delivery system / Joellen Beck Watson Hawkins, Loretta Pierfedeici Higgins.</t>
        </is>
      </c>
      <c r="H760" t="inlineStr">
        <is>
          <t>No</t>
        </is>
      </c>
      <c r="I760" t="inlineStr">
        <is>
          <t>1</t>
        </is>
      </c>
      <c r="J760" t="inlineStr">
        <is>
          <t>No</t>
        </is>
      </c>
      <c r="K760" t="inlineStr">
        <is>
          <t>No</t>
        </is>
      </c>
      <c r="L760" t="inlineStr">
        <is>
          <t>0</t>
        </is>
      </c>
      <c r="M760" t="inlineStr">
        <is>
          <t>Hawkins, Joellen Watson.</t>
        </is>
      </c>
      <c r="N760" t="inlineStr">
        <is>
          <t>New York City : Tiresias Press, c1985.</t>
        </is>
      </c>
      <c r="O760" t="inlineStr">
        <is>
          <t>1985</t>
        </is>
      </c>
      <c r="P760" t="inlineStr">
        <is>
          <t>2nd ed.</t>
        </is>
      </c>
      <c r="Q760" t="inlineStr">
        <is>
          <t>eng</t>
        </is>
      </c>
      <c r="R760" t="inlineStr">
        <is>
          <t>nyu</t>
        </is>
      </c>
      <c r="T760" t="inlineStr">
        <is>
          <t xml:space="preserve">W  </t>
        </is>
      </c>
      <c r="U760" t="n">
        <v>1</v>
      </c>
      <c r="V760" t="n">
        <v>1</v>
      </c>
      <c r="W760" t="inlineStr">
        <is>
          <t>1990-10-23</t>
        </is>
      </c>
      <c r="X760" t="inlineStr">
        <is>
          <t>1990-10-23</t>
        </is>
      </c>
      <c r="Y760" t="inlineStr">
        <is>
          <t>1990-10-23</t>
        </is>
      </c>
      <c r="Z760" t="inlineStr">
        <is>
          <t>1990-10-23</t>
        </is>
      </c>
      <c r="AA760" t="n">
        <v>54</v>
      </c>
      <c r="AB760" t="n">
        <v>43</v>
      </c>
      <c r="AC760" t="n">
        <v>212</v>
      </c>
      <c r="AD760" t="n">
        <v>1</v>
      </c>
      <c r="AE760" t="n">
        <v>1</v>
      </c>
      <c r="AF760" t="n">
        <v>3</v>
      </c>
      <c r="AG760" t="n">
        <v>13</v>
      </c>
      <c r="AH760" t="n">
        <v>1</v>
      </c>
      <c r="AI760" t="n">
        <v>6</v>
      </c>
      <c r="AJ760" t="n">
        <v>1</v>
      </c>
      <c r="AK760" t="n">
        <v>1</v>
      </c>
      <c r="AL760" t="n">
        <v>3</v>
      </c>
      <c r="AM760" t="n">
        <v>11</v>
      </c>
      <c r="AN760" t="n">
        <v>0</v>
      </c>
      <c r="AO760" t="n">
        <v>0</v>
      </c>
      <c r="AP760" t="n">
        <v>0</v>
      </c>
      <c r="AQ760" t="n">
        <v>0</v>
      </c>
      <c r="AR760" t="inlineStr">
        <is>
          <t>No</t>
        </is>
      </c>
      <c r="AS760" t="inlineStr">
        <is>
          <t>Yes</t>
        </is>
      </c>
      <c r="AT760">
        <f>HYPERLINK("http://catalog.hathitrust.org/Record/000360989","HathiTrust Record")</f>
        <v/>
      </c>
      <c r="AU760">
        <f>HYPERLINK("https://creighton-primo.hosted.exlibrisgroup.com/primo-explore/search?tab=default_tab&amp;search_scope=EVERYTHING&amp;vid=01CRU&amp;lang=en_US&amp;offset=0&amp;query=any,contains,991000771449702656","Catalog Record")</f>
        <v/>
      </c>
      <c r="AV760">
        <f>HYPERLINK("http://www.worldcat.org/oclc/12055046","WorldCat Record")</f>
        <v/>
      </c>
      <c r="AW760" t="inlineStr">
        <is>
          <t>558265:eng</t>
        </is>
      </c>
      <c r="AX760" t="inlineStr">
        <is>
          <t>12055046</t>
        </is>
      </c>
      <c r="AY760" t="inlineStr">
        <is>
          <t>991000771449702656</t>
        </is>
      </c>
      <c r="AZ760" t="inlineStr">
        <is>
          <t>991000771449702656</t>
        </is>
      </c>
      <c r="BA760" t="inlineStr">
        <is>
          <t>2260492260002656</t>
        </is>
      </c>
      <c r="BB760" t="inlineStr">
        <is>
          <t>BOOK</t>
        </is>
      </c>
      <c r="BD760" t="inlineStr">
        <is>
          <t>9780913292358</t>
        </is>
      </c>
      <c r="BE760" t="inlineStr">
        <is>
          <t>30001002062224</t>
        </is>
      </c>
      <c r="BF760" t="inlineStr">
        <is>
          <t>893148249</t>
        </is>
      </c>
    </row>
    <row r="761">
      <c r="A761" t="inlineStr">
        <is>
          <t>No</t>
        </is>
      </c>
      <c r="B761" t="inlineStr">
        <is>
          <t>CUHSL</t>
        </is>
      </c>
      <c r="C761" t="inlineStr">
        <is>
          <t>SHELVES</t>
        </is>
      </c>
      <c r="D761" t="inlineStr">
        <is>
          <t>W84 AA1 H43471 2001</t>
        </is>
      </c>
      <c r="E761" t="inlineStr">
        <is>
          <t>0                      W  0084000AA 1                  H  43471       2001</t>
        </is>
      </c>
      <c r="F761" t="inlineStr">
        <is>
          <t>Health issues in the Latino community / Marilyn Aguirre-Molina, Carlos W. Molina, Ruth Enid Zambrana, editors.</t>
        </is>
      </c>
      <c r="H761" t="inlineStr">
        <is>
          <t>No</t>
        </is>
      </c>
      <c r="I761" t="inlineStr">
        <is>
          <t>1</t>
        </is>
      </c>
      <c r="J761" t="inlineStr">
        <is>
          <t>No</t>
        </is>
      </c>
      <c r="K761" t="inlineStr">
        <is>
          <t>No</t>
        </is>
      </c>
      <c r="L761" t="inlineStr">
        <is>
          <t>0</t>
        </is>
      </c>
      <c r="N761" t="inlineStr">
        <is>
          <t>San Francisco : Jossey Bass Publishers 2001.</t>
        </is>
      </c>
      <c r="O761" t="inlineStr">
        <is>
          <t>2001</t>
        </is>
      </c>
      <c r="Q761" t="inlineStr">
        <is>
          <t>eng</t>
        </is>
      </c>
      <c r="R761" t="inlineStr">
        <is>
          <t>cau</t>
        </is>
      </c>
      <c r="S761" t="inlineStr">
        <is>
          <t>Jossey-Bass health series</t>
        </is>
      </c>
      <c r="T761" t="inlineStr">
        <is>
          <t xml:space="preserve">W  </t>
        </is>
      </c>
      <c r="U761" t="n">
        <v>0</v>
      </c>
      <c r="V761" t="n">
        <v>0</v>
      </c>
      <c r="W761" t="inlineStr">
        <is>
          <t>2004-09-11</t>
        </is>
      </c>
      <c r="X761" t="inlineStr">
        <is>
          <t>2004-09-11</t>
        </is>
      </c>
      <c r="Y761" t="inlineStr">
        <is>
          <t>2004-09-10</t>
        </is>
      </c>
      <c r="Z761" t="inlineStr">
        <is>
          <t>2004-09-10</t>
        </is>
      </c>
      <c r="AA761" t="n">
        <v>509</v>
      </c>
      <c r="AB761" t="n">
        <v>499</v>
      </c>
      <c r="AC761" t="n">
        <v>1200</v>
      </c>
      <c r="AD761" t="n">
        <v>4</v>
      </c>
      <c r="AE761" t="n">
        <v>6</v>
      </c>
      <c r="AF761" t="n">
        <v>22</v>
      </c>
      <c r="AG761" t="n">
        <v>30</v>
      </c>
      <c r="AH761" t="n">
        <v>6</v>
      </c>
      <c r="AI761" t="n">
        <v>12</v>
      </c>
      <c r="AJ761" t="n">
        <v>6</v>
      </c>
      <c r="AK761" t="n">
        <v>6</v>
      </c>
      <c r="AL761" t="n">
        <v>11</v>
      </c>
      <c r="AM761" t="n">
        <v>13</v>
      </c>
      <c r="AN761" t="n">
        <v>3</v>
      </c>
      <c r="AO761" t="n">
        <v>4</v>
      </c>
      <c r="AP761" t="n">
        <v>0</v>
      </c>
      <c r="AQ761" t="n">
        <v>0</v>
      </c>
      <c r="AR761" t="inlineStr">
        <is>
          <t>No</t>
        </is>
      </c>
      <c r="AS761" t="inlineStr">
        <is>
          <t>Yes</t>
        </is>
      </c>
      <c r="AT761">
        <f>HYPERLINK("http://catalog.hathitrust.org/Record/004173092","HathiTrust Record")</f>
        <v/>
      </c>
      <c r="AU761">
        <f>HYPERLINK("https://creighton-primo.hosted.exlibrisgroup.com/primo-explore/search?tab=default_tab&amp;search_scope=EVERYTHING&amp;vid=01CRU&amp;lang=en_US&amp;offset=0&amp;query=any,contains,991000386499702656","Catalog Record")</f>
        <v/>
      </c>
      <c r="AV761">
        <f>HYPERLINK("http://www.worldcat.org/oclc/45835637","WorldCat Record")</f>
        <v/>
      </c>
      <c r="AW761" t="inlineStr">
        <is>
          <t>864038759:eng</t>
        </is>
      </c>
      <c r="AX761" t="inlineStr">
        <is>
          <t>45835637</t>
        </is>
      </c>
      <c r="AY761" t="inlineStr">
        <is>
          <t>991000386499702656</t>
        </is>
      </c>
      <c r="AZ761" t="inlineStr">
        <is>
          <t>991000386499702656</t>
        </is>
      </c>
      <c r="BA761" t="inlineStr">
        <is>
          <t>2268276990002656</t>
        </is>
      </c>
      <c r="BB761" t="inlineStr">
        <is>
          <t>BOOK</t>
        </is>
      </c>
      <c r="BD761" t="inlineStr">
        <is>
          <t>9780787953157</t>
        </is>
      </c>
      <c r="BE761" t="inlineStr">
        <is>
          <t>30001004922524</t>
        </is>
      </c>
      <c r="BF761" t="inlineStr">
        <is>
          <t>893466236</t>
        </is>
      </c>
    </row>
    <row r="762">
      <c r="A762" t="inlineStr">
        <is>
          <t>No</t>
        </is>
      </c>
      <c r="B762" t="inlineStr">
        <is>
          <t>CUHSL</t>
        </is>
      </c>
      <c r="C762" t="inlineStr">
        <is>
          <t>SHELVES</t>
        </is>
      </c>
      <c r="D762" t="inlineStr">
        <is>
          <t>W84 AA1 H43478 2001</t>
        </is>
      </c>
      <c r="E762" t="inlineStr">
        <is>
          <t>0                      W  0084000AA 1                  H  43478       2001</t>
        </is>
      </c>
      <c r="F762" t="inlineStr">
        <is>
          <t>Health policy : crisis and reform in the U.S. health care delivery system / edited by Charlene Harrington, Carroll L. Estes.</t>
        </is>
      </c>
      <c r="H762" t="inlineStr">
        <is>
          <t>No</t>
        </is>
      </c>
      <c r="I762" t="inlineStr">
        <is>
          <t>1</t>
        </is>
      </c>
      <c r="J762" t="inlineStr">
        <is>
          <t>No</t>
        </is>
      </c>
      <c r="K762" t="inlineStr">
        <is>
          <t>Yes</t>
        </is>
      </c>
      <c r="L762" t="inlineStr">
        <is>
          <t>0</t>
        </is>
      </c>
      <c r="N762" t="inlineStr">
        <is>
          <t>Sudbury, Mass. : Jones and Bartlett Publishers, c2001.</t>
        </is>
      </c>
      <c r="O762" t="inlineStr">
        <is>
          <t>2001</t>
        </is>
      </c>
      <c r="P762" t="inlineStr">
        <is>
          <t>3rd ed.</t>
        </is>
      </c>
      <c r="Q762" t="inlineStr">
        <is>
          <t>eng</t>
        </is>
      </c>
      <c r="R762" t="inlineStr">
        <is>
          <t>mau</t>
        </is>
      </c>
      <c r="S762" t="inlineStr">
        <is>
          <t>The Jones and Bartlett series in health sciences</t>
        </is>
      </c>
      <c r="T762" t="inlineStr">
        <is>
          <t xml:space="preserve">W  </t>
        </is>
      </c>
      <c r="U762" t="n">
        <v>4</v>
      </c>
      <c r="V762" t="n">
        <v>4</v>
      </c>
      <c r="W762" t="inlineStr">
        <is>
          <t>2003-04-23</t>
        </is>
      </c>
      <c r="X762" t="inlineStr">
        <is>
          <t>2003-04-23</t>
        </is>
      </c>
      <c r="Y762" t="inlineStr">
        <is>
          <t>2003-03-04</t>
        </is>
      </c>
      <c r="Z762" t="inlineStr">
        <is>
          <t>2003-03-04</t>
        </is>
      </c>
      <c r="AA762" t="n">
        <v>172</v>
      </c>
      <c r="AB762" t="n">
        <v>159</v>
      </c>
      <c r="AC762" t="n">
        <v>569</v>
      </c>
      <c r="AD762" t="n">
        <v>1</v>
      </c>
      <c r="AE762" t="n">
        <v>3</v>
      </c>
      <c r="AF762" t="n">
        <v>7</v>
      </c>
      <c r="AG762" t="n">
        <v>27</v>
      </c>
      <c r="AH762" t="n">
        <v>4</v>
      </c>
      <c r="AI762" t="n">
        <v>11</v>
      </c>
      <c r="AJ762" t="n">
        <v>2</v>
      </c>
      <c r="AK762" t="n">
        <v>6</v>
      </c>
      <c r="AL762" t="n">
        <v>2</v>
      </c>
      <c r="AM762" t="n">
        <v>12</v>
      </c>
      <c r="AN762" t="n">
        <v>0</v>
      </c>
      <c r="AO762" t="n">
        <v>2</v>
      </c>
      <c r="AP762" t="n">
        <v>0</v>
      </c>
      <c r="AQ762" t="n">
        <v>1</v>
      </c>
      <c r="AR762" t="inlineStr">
        <is>
          <t>No</t>
        </is>
      </c>
      <c r="AS762" t="inlineStr">
        <is>
          <t>No</t>
        </is>
      </c>
      <c r="AU762">
        <f>HYPERLINK("https://creighton-primo.hosted.exlibrisgroup.com/primo-explore/search?tab=default_tab&amp;search_scope=EVERYTHING&amp;vid=01CRU&amp;lang=en_US&amp;offset=0&amp;query=any,contains,991000340259702656","Catalog Record")</f>
        <v/>
      </c>
      <c r="AV762">
        <f>HYPERLINK("http://www.worldcat.org/oclc/44681708","WorldCat Record")</f>
        <v/>
      </c>
      <c r="AW762" t="inlineStr">
        <is>
          <t>799777205:eng</t>
        </is>
      </c>
      <c r="AX762" t="inlineStr">
        <is>
          <t>44681708</t>
        </is>
      </c>
      <c r="AY762" t="inlineStr">
        <is>
          <t>991000340259702656</t>
        </is>
      </c>
      <c r="AZ762" t="inlineStr">
        <is>
          <t>991000340259702656</t>
        </is>
      </c>
      <c r="BA762" t="inlineStr">
        <is>
          <t>2259156930002656</t>
        </is>
      </c>
      <c r="BB762" t="inlineStr">
        <is>
          <t>BOOK</t>
        </is>
      </c>
      <c r="BD762" t="inlineStr">
        <is>
          <t>9780763714604</t>
        </is>
      </c>
      <c r="BE762" t="inlineStr">
        <is>
          <t>30001004502011</t>
        </is>
      </c>
      <c r="BF762" t="inlineStr">
        <is>
          <t>893639090</t>
        </is>
      </c>
    </row>
    <row r="763">
      <c r="A763" t="inlineStr">
        <is>
          <t>No</t>
        </is>
      </c>
      <c r="B763" t="inlineStr">
        <is>
          <t>CUHSL</t>
        </is>
      </c>
      <c r="C763" t="inlineStr">
        <is>
          <t>SHELVES</t>
        </is>
      </c>
      <c r="D763" t="inlineStr">
        <is>
          <t>W84 AA1 H43478 2004</t>
        </is>
      </c>
      <c r="E763" t="inlineStr">
        <is>
          <t>0                      W  0084000AA 1                  H  43478       2004</t>
        </is>
      </c>
      <c r="F763" t="inlineStr">
        <is>
          <t>Health policy : crisis and reform in the U.S. health care delivery system / edited by Charlene Harrington, Carroll L. Estes. ; with assistance from Cassandra Crawford.</t>
        </is>
      </c>
      <c r="H763" t="inlineStr">
        <is>
          <t>No</t>
        </is>
      </c>
      <c r="I763" t="inlineStr">
        <is>
          <t>1</t>
        </is>
      </c>
      <c r="J763" t="inlineStr">
        <is>
          <t>No</t>
        </is>
      </c>
      <c r="K763" t="inlineStr">
        <is>
          <t>Yes</t>
        </is>
      </c>
      <c r="L763" t="inlineStr">
        <is>
          <t>0</t>
        </is>
      </c>
      <c r="N763" t="inlineStr">
        <is>
          <t>Sudbury, Mass. : Jones and Bartlett Publishers, c2004.</t>
        </is>
      </c>
      <c r="O763" t="inlineStr">
        <is>
          <t>2004</t>
        </is>
      </c>
      <c r="P763" t="inlineStr">
        <is>
          <t>4th ed.</t>
        </is>
      </c>
      <c r="Q763" t="inlineStr">
        <is>
          <t>eng</t>
        </is>
      </c>
      <c r="R763" t="inlineStr">
        <is>
          <t>mau</t>
        </is>
      </c>
      <c r="T763" t="inlineStr">
        <is>
          <t xml:space="preserve">W  </t>
        </is>
      </c>
      <c r="U763" t="n">
        <v>4</v>
      </c>
      <c r="V763" t="n">
        <v>4</v>
      </c>
      <c r="W763" t="inlineStr">
        <is>
          <t>2006-10-10</t>
        </is>
      </c>
      <c r="X763" t="inlineStr">
        <is>
          <t>2006-10-10</t>
        </is>
      </c>
      <c r="Y763" t="inlineStr">
        <is>
          <t>2006-04-07</t>
        </is>
      </c>
      <c r="Z763" t="inlineStr">
        <is>
          <t>2006-04-07</t>
        </is>
      </c>
      <c r="AA763" t="n">
        <v>340</v>
      </c>
      <c r="AB763" t="n">
        <v>309</v>
      </c>
      <c r="AC763" t="n">
        <v>569</v>
      </c>
      <c r="AD763" t="n">
        <v>1</v>
      </c>
      <c r="AE763" t="n">
        <v>3</v>
      </c>
      <c r="AF763" t="n">
        <v>11</v>
      </c>
      <c r="AG763" t="n">
        <v>27</v>
      </c>
      <c r="AH763" t="n">
        <v>3</v>
      </c>
      <c r="AI763" t="n">
        <v>11</v>
      </c>
      <c r="AJ763" t="n">
        <v>2</v>
      </c>
      <c r="AK763" t="n">
        <v>6</v>
      </c>
      <c r="AL763" t="n">
        <v>6</v>
      </c>
      <c r="AM763" t="n">
        <v>12</v>
      </c>
      <c r="AN763" t="n">
        <v>0</v>
      </c>
      <c r="AO763" t="n">
        <v>2</v>
      </c>
      <c r="AP763" t="n">
        <v>1</v>
      </c>
      <c r="AQ763" t="n">
        <v>1</v>
      </c>
      <c r="AR763" t="inlineStr">
        <is>
          <t>No</t>
        </is>
      </c>
      <c r="AS763" t="inlineStr">
        <is>
          <t>No</t>
        </is>
      </c>
      <c r="AU763">
        <f>HYPERLINK("https://creighton-primo.hosted.exlibrisgroup.com/primo-explore/search?tab=default_tab&amp;search_scope=EVERYTHING&amp;vid=01CRU&amp;lang=en_US&amp;offset=0&amp;query=any,contains,991000472859702656","Catalog Record")</f>
        <v/>
      </c>
      <c r="AV763">
        <f>HYPERLINK("http://www.worldcat.org/oclc/53138750","WorldCat Record")</f>
        <v/>
      </c>
      <c r="AW763" t="inlineStr">
        <is>
          <t>799777205:eng</t>
        </is>
      </c>
      <c r="AX763" t="inlineStr">
        <is>
          <t>53138750</t>
        </is>
      </c>
      <c r="AY763" t="inlineStr">
        <is>
          <t>991000472859702656</t>
        </is>
      </c>
      <c r="AZ763" t="inlineStr">
        <is>
          <t>991000472859702656</t>
        </is>
      </c>
      <c r="BA763" t="inlineStr">
        <is>
          <t>2266203830002656</t>
        </is>
      </c>
      <c r="BB763" t="inlineStr">
        <is>
          <t>BOOK</t>
        </is>
      </c>
      <c r="BD763" t="inlineStr">
        <is>
          <t>9780763707538</t>
        </is>
      </c>
      <c r="BE763" t="inlineStr">
        <is>
          <t>30001004911048</t>
        </is>
      </c>
      <c r="BF763" t="inlineStr">
        <is>
          <t>893269480</t>
        </is>
      </c>
    </row>
    <row r="764">
      <c r="A764" t="inlineStr">
        <is>
          <t>No</t>
        </is>
      </c>
      <c r="B764" t="inlineStr">
        <is>
          <t>CUHSL</t>
        </is>
      </c>
      <c r="C764" t="inlineStr">
        <is>
          <t>SHELVES</t>
        </is>
      </c>
      <c r="D764" t="inlineStr">
        <is>
          <t>W 84 AA1 H46s 2008</t>
        </is>
      </c>
      <c r="E764" t="inlineStr">
        <is>
          <t>0                      W  0084000AA 1                  H  46s         2008</t>
        </is>
      </c>
      <c r="F764" t="inlineStr">
        <is>
          <t>SBAR basics : a resource guide for healthcare managers / by Susan W. Hendrickson.</t>
        </is>
      </c>
      <c r="H764" t="inlineStr">
        <is>
          <t>No</t>
        </is>
      </c>
      <c r="I764" t="inlineStr">
        <is>
          <t>1</t>
        </is>
      </c>
      <c r="J764" t="inlineStr">
        <is>
          <t>No</t>
        </is>
      </c>
      <c r="K764" t="inlineStr">
        <is>
          <t>No</t>
        </is>
      </c>
      <c r="L764" t="inlineStr">
        <is>
          <t>0</t>
        </is>
      </c>
      <c r="M764" t="inlineStr">
        <is>
          <t>Hendrickson, Susan W.</t>
        </is>
      </c>
      <c r="N764" t="inlineStr">
        <is>
          <t>[S.l.] : HCPro, 2008.</t>
        </is>
      </c>
      <c r="O764" t="inlineStr">
        <is>
          <t>2008</t>
        </is>
      </c>
      <c r="Q764" t="inlineStr">
        <is>
          <t>eng</t>
        </is>
      </c>
      <c r="R764" t="inlineStr">
        <is>
          <t xml:space="preserve">xx </t>
        </is>
      </c>
      <c r="T764" t="inlineStr">
        <is>
          <t xml:space="preserve">W  </t>
        </is>
      </c>
      <c r="U764" t="n">
        <v>2</v>
      </c>
      <c r="V764" t="n">
        <v>2</v>
      </c>
      <c r="W764" t="inlineStr">
        <is>
          <t>2009-09-08</t>
        </is>
      </c>
      <c r="X764" t="inlineStr">
        <is>
          <t>2009-09-08</t>
        </is>
      </c>
      <c r="Y764" t="inlineStr">
        <is>
          <t>2009-05-29</t>
        </is>
      </c>
      <c r="Z764" t="inlineStr">
        <is>
          <t>2009-05-29</t>
        </is>
      </c>
      <c r="AA764" t="n">
        <v>28</v>
      </c>
      <c r="AB764" t="n">
        <v>24</v>
      </c>
      <c r="AC764" t="n">
        <v>24</v>
      </c>
      <c r="AD764" t="n">
        <v>1</v>
      </c>
      <c r="AE764" t="n">
        <v>1</v>
      </c>
      <c r="AF764" t="n">
        <v>1</v>
      </c>
      <c r="AG764" t="n">
        <v>1</v>
      </c>
      <c r="AH764" t="n">
        <v>1</v>
      </c>
      <c r="AI764" t="n">
        <v>1</v>
      </c>
      <c r="AJ764" t="n">
        <v>0</v>
      </c>
      <c r="AK764" t="n">
        <v>0</v>
      </c>
      <c r="AL764" t="n">
        <v>0</v>
      </c>
      <c r="AM764" t="n">
        <v>0</v>
      </c>
      <c r="AN764" t="n">
        <v>0</v>
      </c>
      <c r="AO764" t="n">
        <v>0</v>
      </c>
      <c r="AP764" t="n">
        <v>0</v>
      </c>
      <c r="AQ764" t="n">
        <v>0</v>
      </c>
      <c r="AR764" t="inlineStr">
        <is>
          <t>No</t>
        </is>
      </c>
      <c r="AS764" t="inlineStr">
        <is>
          <t>No</t>
        </is>
      </c>
      <c r="AU764">
        <f>HYPERLINK("https://creighton-primo.hosted.exlibrisgroup.com/primo-explore/search?tab=default_tab&amp;search_scope=EVERYTHING&amp;vid=01CRU&amp;lang=en_US&amp;offset=0&amp;query=any,contains,991001466189702656","Catalog Record")</f>
        <v/>
      </c>
      <c r="AV764">
        <f>HYPERLINK("http://www.worldcat.org/oclc/230204802","WorldCat Record")</f>
        <v/>
      </c>
      <c r="AW764" t="inlineStr">
        <is>
          <t>138420262:eng</t>
        </is>
      </c>
      <c r="AX764" t="inlineStr">
        <is>
          <t>230204802</t>
        </is>
      </c>
      <c r="AY764" t="inlineStr">
        <is>
          <t>991001466189702656</t>
        </is>
      </c>
      <c r="AZ764" t="inlineStr">
        <is>
          <t>991001466189702656</t>
        </is>
      </c>
      <c r="BA764" t="inlineStr">
        <is>
          <t>2271853210002656</t>
        </is>
      </c>
      <c r="BB764" t="inlineStr">
        <is>
          <t>BOOK</t>
        </is>
      </c>
      <c r="BD764" t="inlineStr">
        <is>
          <t>9781601462589</t>
        </is>
      </c>
      <c r="BE764" t="inlineStr">
        <is>
          <t>30001004917185</t>
        </is>
      </c>
      <c r="BF764" t="inlineStr">
        <is>
          <t>893552535</t>
        </is>
      </c>
    </row>
    <row r="765">
      <c r="A765" t="inlineStr">
        <is>
          <t>No</t>
        </is>
      </c>
      <c r="B765" t="inlineStr">
        <is>
          <t>CUHSL</t>
        </is>
      </c>
      <c r="C765" t="inlineStr">
        <is>
          <t>SHELVES</t>
        </is>
      </c>
      <c r="D765" t="inlineStr">
        <is>
          <t>W 84 AA1 I296 1997</t>
        </is>
      </c>
      <c r="E765" t="inlineStr">
        <is>
          <t>0                      W  0084000AA 1                  I  296         1997</t>
        </is>
      </c>
      <c r="F765" t="inlineStr">
        <is>
          <t>Improving quality : a guide to effective programs / [edited by] Claire Gavin Meisenheimer.</t>
        </is>
      </c>
      <c r="H765" t="inlineStr">
        <is>
          <t>No</t>
        </is>
      </c>
      <c r="I765" t="inlineStr">
        <is>
          <t>1</t>
        </is>
      </c>
      <c r="J765" t="inlineStr">
        <is>
          <t>No</t>
        </is>
      </c>
      <c r="K765" t="inlineStr">
        <is>
          <t>Yes</t>
        </is>
      </c>
      <c r="L765" t="inlineStr">
        <is>
          <t>0</t>
        </is>
      </c>
      <c r="N765" t="inlineStr">
        <is>
          <t>Gaithersburg, Md. : Aspen Publication, c1997.</t>
        </is>
      </c>
      <c r="O765" t="inlineStr">
        <is>
          <t>1997</t>
        </is>
      </c>
      <c r="P765" t="inlineStr">
        <is>
          <t>2nd ed.</t>
        </is>
      </c>
      <c r="Q765" t="inlineStr">
        <is>
          <t>eng</t>
        </is>
      </c>
      <c r="R765" t="inlineStr">
        <is>
          <t>mdu</t>
        </is>
      </c>
      <c r="T765" t="inlineStr">
        <is>
          <t xml:space="preserve">W  </t>
        </is>
      </c>
      <c r="U765" t="n">
        <v>4</v>
      </c>
      <c r="V765" t="n">
        <v>4</v>
      </c>
      <c r="W765" t="inlineStr">
        <is>
          <t>1998-12-21</t>
        </is>
      </c>
      <c r="X765" t="inlineStr">
        <is>
          <t>1998-12-21</t>
        </is>
      </c>
      <c r="Y765" t="inlineStr">
        <is>
          <t>1998-09-01</t>
        </is>
      </c>
      <c r="Z765" t="inlineStr">
        <is>
          <t>1998-09-01</t>
        </is>
      </c>
      <c r="AA765" t="n">
        <v>225</v>
      </c>
      <c r="AB765" t="n">
        <v>190</v>
      </c>
      <c r="AC765" t="n">
        <v>382</v>
      </c>
      <c r="AD765" t="n">
        <v>2</v>
      </c>
      <c r="AE765" t="n">
        <v>2</v>
      </c>
      <c r="AF765" t="n">
        <v>8</v>
      </c>
      <c r="AG765" t="n">
        <v>16</v>
      </c>
      <c r="AH765" t="n">
        <v>3</v>
      </c>
      <c r="AI765" t="n">
        <v>7</v>
      </c>
      <c r="AJ765" t="n">
        <v>0</v>
      </c>
      <c r="AK765" t="n">
        <v>3</v>
      </c>
      <c r="AL765" t="n">
        <v>6</v>
      </c>
      <c r="AM765" t="n">
        <v>10</v>
      </c>
      <c r="AN765" t="n">
        <v>1</v>
      </c>
      <c r="AO765" t="n">
        <v>1</v>
      </c>
      <c r="AP765" t="n">
        <v>0</v>
      </c>
      <c r="AQ765" t="n">
        <v>0</v>
      </c>
      <c r="AR765" t="inlineStr">
        <is>
          <t>No</t>
        </is>
      </c>
      <c r="AS765" t="inlineStr">
        <is>
          <t>Yes</t>
        </is>
      </c>
      <c r="AT765">
        <f>HYPERLINK("http://catalog.hathitrust.org/Record/003152534","HathiTrust Record")</f>
        <v/>
      </c>
      <c r="AU765">
        <f>HYPERLINK("https://creighton-primo.hosted.exlibrisgroup.com/primo-explore/search?tab=default_tab&amp;search_scope=EVERYTHING&amp;vid=01CRU&amp;lang=en_US&amp;offset=0&amp;query=any,contains,991001566199702656","Catalog Record")</f>
        <v/>
      </c>
      <c r="AV765">
        <f>HYPERLINK("http://www.worldcat.org/oclc/36252892","WorldCat Record")</f>
        <v/>
      </c>
      <c r="AW765" t="inlineStr">
        <is>
          <t>55516718:eng</t>
        </is>
      </c>
      <c r="AX765" t="inlineStr">
        <is>
          <t>36252892</t>
        </is>
      </c>
      <c r="AY765" t="inlineStr">
        <is>
          <t>991001566199702656</t>
        </is>
      </c>
      <c r="AZ765" t="inlineStr">
        <is>
          <t>991001566199702656</t>
        </is>
      </c>
      <c r="BA765" t="inlineStr">
        <is>
          <t>2261766080002656</t>
        </is>
      </c>
      <c r="BB765" t="inlineStr">
        <is>
          <t>BOOK</t>
        </is>
      </c>
      <c r="BD765" t="inlineStr">
        <is>
          <t>9780834209107</t>
        </is>
      </c>
      <c r="BE765" t="inlineStr">
        <is>
          <t>30001004092211</t>
        </is>
      </c>
      <c r="BF765" t="inlineStr">
        <is>
          <t>893279227</t>
        </is>
      </c>
    </row>
    <row r="766">
      <c r="A766" t="inlineStr">
        <is>
          <t>No</t>
        </is>
      </c>
      <c r="B766" t="inlineStr">
        <is>
          <t>CUHSL</t>
        </is>
      </c>
      <c r="C766" t="inlineStr">
        <is>
          <t>SHELVES</t>
        </is>
      </c>
      <c r="D766" t="inlineStr">
        <is>
          <t>W 84 AA1 I482f 1988</t>
        </is>
      </c>
      <c r="E766" t="inlineStr">
        <is>
          <t>0                      W  0084000AA 1                  I  482f        1988</t>
        </is>
      </c>
      <c r="F766" t="inlineStr">
        <is>
          <t>The future of public health / Committee for the Study of the Future of Public Health, Division of Health Care Services, Institute of Medicine.</t>
        </is>
      </c>
      <c r="H766" t="inlineStr">
        <is>
          <t>No</t>
        </is>
      </c>
      <c r="I766" t="inlineStr">
        <is>
          <t>1</t>
        </is>
      </c>
      <c r="J766" t="inlineStr">
        <is>
          <t>Yes</t>
        </is>
      </c>
      <c r="K766" t="inlineStr">
        <is>
          <t>No</t>
        </is>
      </c>
      <c r="L766" t="inlineStr">
        <is>
          <t>3</t>
        </is>
      </c>
      <c r="M766" t="inlineStr">
        <is>
          <t>Institute of Medicine (U.S.). Committee for the Study of the Future of Public Health.</t>
        </is>
      </c>
      <c r="N766" t="inlineStr">
        <is>
          <t>Washington, D.C. : National Academy Press, c1988.</t>
        </is>
      </c>
      <c r="O766" t="inlineStr">
        <is>
          <t>1988</t>
        </is>
      </c>
      <c r="Q766" t="inlineStr">
        <is>
          <t>eng</t>
        </is>
      </c>
      <c r="R766" t="inlineStr">
        <is>
          <t>dcu</t>
        </is>
      </c>
      <c r="T766" t="inlineStr">
        <is>
          <t xml:space="preserve">W  </t>
        </is>
      </c>
      <c r="U766" t="n">
        <v>19</v>
      </c>
      <c r="V766" t="n">
        <v>19</v>
      </c>
      <c r="W766" t="inlineStr">
        <is>
          <t>2003-10-31</t>
        </is>
      </c>
      <c r="X766" t="inlineStr">
        <is>
          <t>2003-10-31</t>
        </is>
      </c>
      <c r="Y766" t="inlineStr">
        <is>
          <t>1990-10-05</t>
        </is>
      </c>
      <c r="Z766" t="inlineStr">
        <is>
          <t>1990-10-05</t>
        </is>
      </c>
      <c r="AA766" t="n">
        <v>556</v>
      </c>
      <c r="AB766" t="n">
        <v>500</v>
      </c>
      <c r="AC766" t="n">
        <v>1332</v>
      </c>
      <c r="AD766" t="n">
        <v>2</v>
      </c>
      <c r="AE766" t="n">
        <v>14</v>
      </c>
      <c r="AF766" t="n">
        <v>17</v>
      </c>
      <c r="AG766" t="n">
        <v>47</v>
      </c>
      <c r="AH766" t="n">
        <v>6</v>
      </c>
      <c r="AI766" t="n">
        <v>15</v>
      </c>
      <c r="AJ766" t="n">
        <v>4</v>
      </c>
      <c r="AK766" t="n">
        <v>10</v>
      </c>
      <c r="AL766" t="n">
        <v>8</v>
      </c>
      <c r="AM766" t="n">
        <v>13</v>
      </c>
      <c r="AN766" t="n">
        <v>0</v>
      </c>
      <c r="AO766" t="n">
        <v>12</v>
      </c>
      <c r="AP766" t="n">
        <v>3</v>
      </c>
      <c r="AQ766" t="n">
        <v>4</v>
      </c>
      <c r="AR766" t="inlineStr">
        <is>
          <t>No</t>
        </is>
      </c>
      <c r="AS766" t="inlineStr">
        <is>
          <t>No</t>
        </is>
      </c>
      <c r="AU766">
        <f>HYPERLINK("https://creighton-primo.hosted.exlibrisgroup.com/primo-explore/search?tab=default_tab&amp;search_scope=EVERYTHING&amp;vid=01CRU&amp;lang=en_US&amp;offset=0&amp;query=any,contains,991000763839702656","Catalog Record")</f>
        <v/>
      </c>
      <c r="AV766">
        <f>HYPERLINK("http://www.worldcat.org/oclc/18464873","WorldCat Record")</f>
        <v/>
      </c>
      <c r="AW766" t="inlineStr">
        <is>
          <t>875524:eng</t>
        </is>
      </c>
      <c r="AX766" t="inlineStr">
        <is>
          <t>18464873</t>
        </is>
      </c>
      <c r="AY766" t="inlineStr">
        <is>
          <t>991000763839702656</t>
        </is>
      </c>
      <c r="AZ766" t="inlineStr">
        <is>
          <t>991000763839702656</t>
        </is>
      </c>
      <c r="BA766" t="inlineStr">
        <is>
          <t>2267489780002656</t>
        </is>
      </c>
      <c r="BB766" t="inlineStr">
        <is>
          <t>BOOK</t>
        </is>
      </c>
      <c r="BD766" t="inlineStr">
        <is>
          <t>9780309038300</t>
        </is>
      </c>
      <c r="BE766" t="inlineStr">
        <is>
          <t>30001002060665</t>
        </is>
      </c>
      <c r="BF766" t="inlineStr">
        <is>
          <t>893825643</t>
        </is>
      </c>
    </row>
    <row r="767">
      <c r="A767" t="inlineStr">
        <is>
          <t>No</t>
        </is>
      </c>
      <c r="B767" t="inlineStr">
        <is>
          <t>CUHSL</t>
        </is>
      </c>
      <c r="C767" t="inlineStr">
        <is>
          <t>SHELVES</t>
        </is>
      </c>
      <c r="D767" t="inlineStr">
        <is>
          <t>W84 AA1 I88 2004</t>
        </is>
      </c>
      <c r="E767" t="inlineStr">
        <is>
          <t>0                      W  0084000AA 1                  I  88          2004</t>
        </is>
      </c>
      <c r="F767" t="inlineStr">
        <is>
          <t>Introduction to health care delivery : a primer for pharmacists / [edited by] Robert L. McCarthy, Kenneth W. Schafermeyer.</t>
        </is>
      </c>
      <c r="H767" t="inlineStr">
        <is>
          <t>No</t>
        </is>
      </c>
      <c r="I767" t="inlineStr">
        <is>
          <t>1</t>
        </is>
      </c>
      <c r="J767" t="inlineStr">
        <is>
          <t>No</t>
        </is>
      </c>
      <c r="K767" t="inlineStr">
        <is>
          <t>Yes</t>
        </is>
      </c>
      <c r="L767" t="inlineStr">
        <is>
          <t>1</t>
        </is>
      </c>
      <c r="N767" t="inlineStr">
        <is>
          <t>Sudbury, Mass. : Jones and Bartlett Publishers, c2004.</t>
        </is>
      </c>
      <c r="O767" t="inlineStr">
        <is>
          <t>2004</t>
        </is>
      </c>
      <c r="P767" t="inlineStr">
        <is>
          <t>3rd ed.</t>
        </is>
      </c>
      <c r="Q767" t="inlineStr">
        <is>
          <t>eng</t>
        </is>
      </c>
      <c r="R767" t="inlineStr">
        <is>
          <t>mau</t>
        </is>
      </c>
      <c r="T767" t="inlineStr">
        <is>
          <t xml:space="preserve">W  </t>
        </is>
      </c>
      <c r="U767" t="n">
        <v>65</v>
      </c>
      <c r="V767" t="n">
        <v>65</v>
      </c>
      <c r="W767" t="inlineStr">
        <is>
          <t>2010-08-25</t>
        </is>
      </c>
      <c r="X767" t="inlineStr">
        <is>
          <t>2010-08-25</t>
        </is>
      </c>
      <c r="Y767" t="inlineStr">
        <is>
          <t>2004-08-31</t>
        </is>
      </c>
      <c r="Z767" t="inlineStr">
        <is>
          <t>2004-08-31</t>
        </is>
      </c>
      <c r="AA767" t="n">
        <v>70</v>
      </c>
      <c r="AB767" t="n">
        <v>60</v>
      </c>
      <c r="AC767" t="n">
        <v>232</v>
      </c>
      <c r="AD767" t="n">
        <v>1</v>
      </c>
      <c r="AE767" t="n">
        <v>2</v>
      </c>
      <c r="AF767" t="n">
        <v>4</v>
      </c>
      <c r="AG767" t="n">
        <v>11</v>
      </c>
      <c r="AH767" t="n">
        <v>2</v>
      </c>
      <c r="AI767" t="n">
        <v>5</v>
      </c>
      <c r="AJ767" t="n">
        <v>2</v>
      </c>
      <c r="AK767" t="n">
        <v>3</v>
      </c>
      <c r="AL767" t="n">
        <v>0</v>
      </c>
      <c r="AM767" t="n">
        <v>4</v>
      </c>
      <c r="AN767" t="n">
        <v>0</v>
      </c>
      <c r="AO767" t="n">
        <v>1</v>
      </c>
      <c r="AP767" t="n">
        <v>0</v>
      </c>
      <c r="AQ767" t="n">
        <v>0</v>
      </c>
      <c r="AR767" t="inlineStr">
        <is>
          <t>No</t>
        </is>
      </c>
      <c r="AS767" t="inlineStr">
        <is>
          <t>Yes</t>
        </is>
      </c>
      <c r="AT767">
        <f>HYPERLINK("http://catalog.hathitrust.org/Record/004737976","HathiTrust Record")</f>
        <v/>
      </c>
      <c r="AU767">
        <f>HYPERLINK("https://creighton-primo.hosted.exlibrisgroup.com/primo-explore/search?tab=default_tab&amp;search_scope=EVERYTHING&amp;vid=01CRU&amp;lang=en_US&amp;offset=0&amp;query=any,contains,991000381779702656","Catalog Record")</f>
        <v/>
      </c>
      <c r="AV767">
        <f>HYPERLINK("http://www.worldcat.org/oclc/53802093","WorldCat Record")</f>
        <v/>
      </c>
      <c r="AW767" t="inlineStr">
        <is>
          <t>824458046:eng</t>
        </is>
      </c>
      <c r="AX767" t="inlineStr">
        <is>
          <t>53802093</t>
        </is>
      </c>
      <c r="AY767" t="inlineStr">
        <is>
          <t>991000381779702656</t>
        </is>
      </c>
      <c r="AZ767" t="inlineStr">
        <is>
          <t>991000381779702656</t>
        </is>
      </c>
      <c r="BA767" t="inlineStr">
        <is>
          <t>2255583620002656</t>
        </is>
      </c>
      <c r="BB767" t="inlineStr">
        <is>
          <t>BOOK</t>
        </is>
      </c>
      <c r="BD767" t="inlineStr">
        <is>
          <t>9780763732813</t>
        </is>
      </c>
      <c r="BE767" t="inlineStr">
        <is>
          <t>30001004922383</t>
        </is>
      </c>
      <c r="BF767" t="inlineStr">
        <is>
          <t>893275016</t>
        </is>
      </c>
    </row>
    <row r="768">
      <c r="A768" t="inlineStr">
        <is>
          <t>No</t>
        </is>
      </c>
      <c r="B768" t="inlineStr">
        <is>
          <t>CUHSL</t>
        </is>
      </c>
      <c r="C768" t="inlineStr">
        <is>
          <t>SHELVES</t>
        </is>
      </c>
      <c r="D768" t="inlineStr">
        <is>
          <t>W 84 AA1 J68 1999</t>
        </is>
      </c>
      <c r="E768" t="inlineStr">
        <is>
          <t>0                      W  0084000AA 1                  J  68          1999</t>
        </is>
      </c>
      <c r="F768" t="inlineStr">
        <is>
          <t>Jonas and Kovner's health care delivery in the United States / Anthony R. Kovner and Steven Jonas, editors.</t>
        </is>
      </c>
      <c r="H768" t="inlineStr">
        <is>
          <t>No</t>
        </is>
      </c>
      <c r="I768" t="inlineStr">
        <is>
          <t>1</t>
        </is>
      </c>
      <c r="J768" t="inlineStr">
        <is>
          <t>No</t>
        </is>
      </c>
      <c r="K768" t="inlineStr">
        <is>
          <t>Yes</t>
        </is>
      </c>
      <c r="L768" t="inlineStr">
        <is>
          <t>3</t>
        </is>
      </c>
      <c r="N768" t="inlineStr">
        <is>
          <t>New York : Springer Pub. Co. c1999.</t>
        </is>
      </c>
      <c r="O768" t="inlineStr">
        <is>
          <t>1999</t>
        </is>
      </c>
      <c r="P768" t="inlineStr">
        <is>
          <t>6th ed.</t>
        </is>
      </c>
      <c r="Q768" t="inlineStr">
        <is>
          <t>eng</t>
        </is>
      </c>
      <c r="R768" t="inlineStr">
        <is>
          <t>nyu</t>
        </is>
      </c>
      <c r="T768" t="inlineStr">
        <is>
          <t xml:space="preserve">W  </t>
        </is>
      </c>
      <c r="U768" t="n">
        <v>13</v>
      </c>
      <c r="V768" t="n">
        <v>13</v>
      </c>
      <c r="W768" t="inlineStr">
        <is>
          <t>2001-09-24</t>
        </is>
      </c>
      <c r="X768" t="inlineStr">
        <is>
          <t>2001-09-24</t>
        </is>
      </c>
      <c r="Y768" t="inlineStr">
        <is>
          <t>1998-11-05</t>
        </is>
      </c>
      <c r="Z768" t="inlineStr">
        <is>
          <t>1998-11-05</t>
        </is>
      </c>
      <c r="AA768" t="n">
        <v>304</v>
      </c>
      <c r="AB768" t="n">
        <v>291</v>
      </c>
      <c r="AC768" t="n">
        <v>1708</v>
      </c>
      <c r="AD768" t="n">
        <v>1</v>
      </c>
      <c r="AE768" t="n">
        <v>15</v>
      </c>
      <c r="AF768" t="n">
        <v>5</v>
      </c>
      <c r="AG768" t="n">
        <v>65</v>
      </c>
      <c r="AH768" t="n">
        <v>1</v>
      </c>
      <c r="AI768" t="n">
        <v>24</v>
      </c>
      <c r="AJ768" t="n">
        <v>1</v>
      </c>
      <c r="AK768" t="n">
        <v>12</v>
      </c>
      <c r="AL768" t="n">
        <v>4</v>
      </c>
      <c r="AM768" t="n">
        <v>23</v>
      </c>
      <c r="AN768" t="n">
        <v>0</v>
      </c>
      <c r="AO768" t="n">
        <v>13</v>
      </c>
      <c r="AP768" t="n">
        <v>0</v>
      </c>
      <c r="AQ768" t="n">
        <v>4</v>
      </c>
      <c r="AR768" t="inlineStr">
        <is>
          <t>No</t>
        </is>
      </c>
      <c r="AS768" t="inlineStr">
        <is>
          <t>Yes</t>
        </is>
      </c>
      <c r="AT768">
        <f>HYPERLINK("http://catalog.hathitrust.org/Record/003997996","HathiTrust Record")</f>
        <v/>
      </c>
      <c r="AU768">
        <f>HYPERLINK("https://creighton-primo.hosted.exlibrisgroup.com/primo-explore/search?tab=default_tab&amp;search_scope=EVERYTHING&amp;vid=01CRU&amp;lang=en_US&amp;offset=0&amp;query=any,contains,991000689879702656","Catalog Record")</f>
        <v/>
      </c>
      <c r="AV768">
        <f>HYPERLINK("http://www.worldcat.org/oclc/39275837","WorldCat Record")</f>
        <v/>
      </c>
      <c r="AW768" t="inlineStr">
        <is>
          <t>355665954:eng</t>
        </is>
      </c>
      <c r="AX768" t="inlineStr">
        <is>
          <t>39275837</t>
        </is>
      </c>
      <c r="AY768" t="inlineStr">
        <is>
          <t>991000689879702656</t>
        </is>
      </c>
      <c r="AZ768" t="inlineStr">
        <is>
          <t>991000689879702656</t>
        </is>
      </c>
      <c r="BA768" t="inlineStr">
        <is>
          <t>2264517670002656</t>
        </is>
      </c>
      <c r="BB768" t="inlineStr">
        <is>
          <t>BOOK</t>
        </is>
      </c>
      <c r="BD768" t="inlineStr">
        <is>
          <t>9780826120823</t>
        </is>
      </c>
      <c r="BE768" t="inlineStr">
        <is>
          <t>30001004036366</t>
        </is>
      </c>
      <c r="BF768" t="inlineStr">
        <is>
          <t>893647995</t>
        </is>
      </c>
    </row>
    <row r="769">
      <c r="A769" t="inlineStr">
        <is>
          <t>No</t>
        </is>
      </c>
      <c r="B769" t="inlineStr">
        <is>
          <t>CUHSL</t>
        </is>
      </c>
      <c r="C769" t="inlineStr">
        <is>
          <t>SHELVES</t>
        </is>
      </c>
      <c r="D769" t="inlineStr">
        <is>
          <t>W84 AA1 J68 2002</t>
        </is>
      </c>
      <c r="E769" t="inlineStr">
        <is>
          <t>0                      W  0084000AA 1                  J  68          2002</t>
        </is>
      </c>
      <c r="F769" t="inlineStr">
        <is>
          <t>Jonas and Kovner's health care delivery in the United States / Anthony R. Kovner, Steven Jonas, editors.</t>
        </is>
      </c>
      <c r="H769" t="inlineStr">
        <is>
          <t>No</t>
        </is>
      </c>
      <c r="I769" t="inlineStr">
        <is>
          <t>1</t>
        </is>
      </c>
      <c r="J769" t="inlineStr">
        <is>
          <t>No</t>
        </is>
      </c>
      <c r="K769" t="inlineStr">
        <is>
          <t>Yes</t>
        </is>
      </c>
      <c r="L769" t="inlineStr">
        <is>
          <t>3</t>
        </is>
      </c>
      <c r="N769" t="inlineStr">
        <is>
          <t>New York : Springer Pub., c2002.</t>
        </is>
      </c>
      <c r="O769" t="inlineStr">
        <is>
          <t>2002</t>
        </is>
      </c>
      <c r="P769" t="inlineStr">
        <is>
          <t>7th ed.</t>
        </is>
      </c>
      <c r="Q769" t="inlineStr">
        <is>
          <t>eng</t>
        </is>
      </c>
      <c r="R769" t="inlineStr">
        <is>
          <t>nyu</t>
        </is>
      </c>
      <c r="T769" t="inlineStr">
        <is>
          <t xml:space="preserve">W  </t>
        </is>
      </c>
      <c r="U769" t="n">
        <v>3</v>
      </c>
      <c r="V769" t="n">
        <v>3</v>
      </c>
      <c r="W769" t="inlineStr">
        <is>
          <t>2004-11-02</t>
        </is>
      </c>
      <c r="X769" t="inlineStr">
        <is>
          <t>2004-11-02</t>
        </is>
      </c>
      <c r="Y769" t="inlineStr">
        <is>
          <t>2002-06-17</t>
        </is>
      </c>
      <c r="Z769" t="inlineStr">
        <is>
          <t>2002-06-17</t>
        </is>
      </c>
      <c r="AA769" t="n">
        <v>314</v>
      </c>
      <c r="AB769" t="n">
        <v>293</v>
      </c>
      <c r="AC769" t="n">
        <v>1708</v>
      </c>
      <c r="AD769" t="n">
        <v>1</v>
      </c>
      <c r="AE769" t="n">
        <v>15</v>
      </c>
      <c r="AF769" t="n">
        <v>11</v>
      </c>
      <c r="AG769" t="n">
        <v>65</v>
      </c>
      <c r="AH769" t="n">
        <v>3</v>
      </c>
      <c r="AI769" t="n">
        <v>24</v>
      </c>
      <c r="AJ769" t="n">
        <v>4</v>
      </c>
      <c r="AK769" t="n">
        <v>12</v>
      </c>
      <c r="AL769" t="n">
        <v>7</v>
      </c>
      <c r="AM769" t="n">
        <v>23</v>
      </c>
      <c r="AN769" t="n">
        <v>0</v>
      </c>
      <c r="AO769" t="n">
        <v>13</v>
      </c>
      <c r="AP769" t="n">
        <v>0</v>
      </c>
      <c r="AQ769" t="n">
        <v>4</v>
      </c>
      <c r="AR769" t="inlineStr">
        <is>
          <t>No</t>
        </is>
      </c>
      <c r="AS769" t="inlineStr">
        <is>
          <t>Yes</t>
        </is>
      </c>
      <c r="AT769">
        <f>HYPERLINK("http://catalog.hathitrust.org/Record/004250593","HathiTrust Record")</f>
        <v/>
      </c>
      <c r="AU769">
        <f>HYPERLINK("https://creighton-primo.hosted.exlibrisgroup.com/primo-explore/search?tab=default_tab&amp;search_scope=EVERYTHING&amp;vid=01CRU&amp;lang=en_US&amp;offset=0&amp;query=any,contains,991000316339702656","Catalog Record")</f>
        <v/>
      </c>
      <c r="AV769">
        <f>HYPERLINK("http://www.worldcat.org/oclc/48773933","WorldCat Record")</f>
        <v/>
      </c>
      <c r="AW769" t="inlineStr">
        <is>
          <t>355665954:eng</t>
        </is>
      </c>
      <c r="AX769" t="inlineStr">
        <is>
          <t>48773933</t>
        </is>
      </c>
      <c r="AY769" t="inlineStr">
        <is>
          <t>991000316339702656</t>
        </is>
      </c>
      <c r="AZ769" t="inlineStr">
        <is>
          <t>991000316339702656</t>
        </is>
      </c>
      <c r="BA769" t="inlineStr">
        <is>
          <t>2257689200002656</t>
        </is>
      </c>
      <c r="BB769" t="inlineStr">
        <is>
          <t>BOOK</t>
        </is>
      </c>
      <c r="BD769" t="inlineStr">
        <is>
          <t>9780826120847</t>
        </is>
      </c>
      <c r="BE769" t="inlineStr">
        <is>
          <t>30001004239481</t>
        </is>
      </c>
      <c r="BF769" t="inlineStr">
        <is>
          <t>893723358</t>
        </is>
      </c>
    </row>
    <row r="770">
      <c r="A770" t="inlineStr">
        <is>
          <t>No</t>
        </is>
      </c>
      <c r="B770" t="inlineStr">
        <is>
          <t>CUHSL</t>
        </is>
      </c>
      <c r="C770" t="inlineStr">
        <is>
          <t>SHELVES</t>
        </is>
      </c>
      <c r="D770" t="inlineStr">
        <is>
          <t>W84 AA1 J68 2005</t>
        </is>
      </c>
      <c r="E770" t="inlineStr">
        <is>
          <t>0                      W  0084000AA 1                  J  68          2005</t>
        </is>
      </c>
      <c r="F770" t="inlineStr">
        <is>
          <t>Jonas &amp; Kovner's health care delivery in the United States / Anthony R. Kovner, James R. Knickman, editors ; Steven Jonas, founding editor.</t>
        </is>
      </c>
      <c r="H770" t="inlineStr">
        <is>
          <t>No</t>
        </is>
      </c>
      <c r="I770" t="inlineStr">
        <is>
          <t>1</t>
        </is>
      </c>
      <c r="J770" t="inlineStr">
        <is>
          <t>No</t>
        </is>
      </c>
      <c r="K770" t="inlineStr">
        <is>
          <t>Yes</t>
        </is>
      </c>
      <c r="L770" t="inlineStr">
        <is>
          <t>3</t>
        </is>
      </c>
      <c r="N770" t="inlineStr">
        <is>
          <t>New York : Springer Pub. Co., c2005.</t>
        </is>
      </c>
      <c r="O770" t="inlineStr">
        <is>
          <t>2005</t>
        </is>
      </c>
      <c r="P770" t="inlineStr">
        <is>
          <t>8th ed.</t>
        </is>
      </c>
      <c r="Q770" t="inlineStr">
        <is>
          <t>eng</t>
        </is>
      </c>
      <c r="R770" t="inlineStr">
        <is>
          <t>nyu</t>
        </is>
      </c>
      <c r="T770" t="inlineStr">
        <is>
          <t xml:space="preserve">W  </t>
        </is>
      </c>
      <c r="U770" t="n">
        <v>0</v>
      </c>
      <c r="V770" t="n">
        <v>0</v>
      </c>
      <c r="W770" t="inlineStr">
        <is>
          <t>2006-02-07</t>
        </is>
      </c>
      <c r="X770" t="inlineStr">
        <is>
          <t>2006-02-07</t>
        </is>
      </c>
      <c r="Y770" t="inlineStr">
        <is>
          <t>2006-02-06</t>
        </is>
      </c>
      <c r="Z770" t="inlineStr">
        <is>
          <t>2006-02-06</t>
        </is>
      </c>
      <c r="AA770" t="n">
        <v>255</v>
      </c>
      <c r="AB770" t="n">
        <v>236</v>
      </c>
      <c r="AC770" t="n">
        <v>1708</v>
      </c>
      <c r="AD770" t="n">
        <v>1</v>
      </c>
      <c r="AE770" t="n">
        <v>15</v>
      </c>
      <c r="AF770" t="n">
        <v>12</v>
      </c>
      <c r="AG770" t="n">
        <v>65</v>
      </c>
      <c r="AH770" t="n">
        <v>5</v>
      </c>
      <c r="AI770" t="n">
        <v>24</v>
      </c>
      <c r="AJ770" t="n">
        <v>4</v>
      </c>
      <c r="AK770" t="n">
        <v>12</v>
      </c>
      <c r="AL770" t="n">
        <v>5</v>
      </c>
      <c r="AM770" t="n">
        <v>23</v>
      </c>
      <c r="AN770" t="n">
        <v>0</v>
      </c>
      <c r="AO770" t="n">
        <v>13</v>
      </c>
      <c r="AP770" t="n">
        <v>0</v>
      </c>
      <c r="AQ770" t="n">
        <v>4</v>
      </c>
      <c r="AR770" t="inlineStr">
        <is>
          <t>No</t>
        </is>
      </c>
      <c r="AS770" t="inlineStr">
        <is>
          <t>No</t>
        </is>
      </c>
      <c r="AU770">
        <f>HYPERLINK("https://creighton-primo.hosted.exlibrisgroup.com/primo-explore/search?tab=default_tab&amp;search_scope=EVERYTHING&amp;vid=01CRU&amp;lang=en_US&amp;offset=0&amp;query=any,contains,991000463139702656","Catalog Record")</f>
        <v/>
      </c>
      <c r="AV770">
        <f>HYPERLINK("http://www.worldcat.org/oclc/58533857","WorldCat Record")</f>
        <v/>
      </c>
      <c r="AW770" t="inlineStr">
        <is>
          <t>355665954:eng</t>
        </is>
      </c>
      <c r="AX770" t="inlineStr">
        <is>
          <t>58533857</t>
        </is>
      </c>
      <c r="AY770" t="inlineStr">
        <is>
          <t>991000463139702656</t>
        </is>
      </c>
      <c r="AZ770" t="inlineStr">
        <is>
          <t>991000463139702656</t>
        </is>
      </c>
      <c r="BA770" t="inlineStr">
        <is>
          <t>2271695750002656</t>
        </is>
      </c>
      <c r="BB770" t="inlineStr">
        <is>
          <t>BOOK</t>
        </is>
      </c>
      <c r="BD770" t="inlineStr">
        <is>
          <t>9780826120878</t>
        </is>
      </c>
      <c r="BE770" t="inlineStr">
        <is>
          <t>30001004913531</t>
        </is>
      </c>
      <c r="BF770" t="inlineStr">
        <is>
          <t>893354379</t>
        </is>
      </c>
    </row>
    <row r="771">
      <c r="A771" t="inlineStr">
        <is>
          <t>No</t>
        </is>
      </c>
      <c r="B771" t="inlineStr">
        <is>
          <t>CUHSL</t>
        </is>
      </c>
      <c r="C771" t="inlineStr">
        <is>
          <t>SHELVES</t>
        </is>
      </c>
      <c r="D771" t="inlineStr">
        <is>
          <t>W 84 AA1 J7i 1986</t>
        </is>
      </c>
      <c r="E771" t="inlineStr">
        <is>
          <t>0                      W  0084000AA 1                  J  7i          1986</t>
        </is>
      </c>
      <c r="F771" t="inlineStr">
        <is>
          <t>An introduction to the U.S. health care system / Milton I. Roemer.</t>
        </is>
      </c>
      <c r="H771" t="inlineStr">
        <is>
          <t>No</t>
        </is>
      </c>
      <c r="I771" t="inlineStr">
        <is>
          <t>1</t>
        </is>
      </c>
      <c r="J771" t="inlineStr">
        <is>
          <t>No</t>
        </is>
      </c>
      <c r="K771" t="inlineStr">
        <is>
          <t>No</t>
        </is>
      </c>
      <c r="L771" t="inlineStr">
        <is>
          <t>0</t>
        </is>
      </c>
      <c r="M771" t="inlineStr">
        <is>
          <t>Roemer, Milton Irwin, 1916-2001.</t>
        </is>
      </c>
      <c r="N771" t="inlineStr">
        <is>
          <t>New York : Springer Pub. Co., c1986.</t>
        </is>
      </c>
      <c r="O771" t="inlineStr">
        <is>
          <t>1986</t>
        </is>
      </c>
      <c r="P771" t="inlineStr">
        <is>
          <t>2nd ed.</t>
        </is>
      </c>
      <c r="Q771" t="inlineStr">
        <is>
          <t>eng</t>
        </is>
      </c>
      <c r="R771" t="inlineStr">
        <is>
          <t>xxu</t>
        </is>
      </c>
      <c r="T771" t="inlineStr">
        <is>
          <t xml:space="preserve">W  </t>
        </is>
      </c>
      <c r="U771" t="n">
        <v>3</v>
      </c>
      <c r="V771" t="n">
        <v>3</v>
      </c>
      <c r="W771" t="inlineStr">
        <is>
          <t>1990-06-26</t>
        </is>
      </c>
      <c r="X771" t="inlineStr">
        <is>
          <t>1990-06-26</t>
        </is>
      </c>
      <c r="Y771" t="inlineStr">
        <is>
          <t>1990-06-15</t>
        </is>
      </c>
      <c r="Z771" t="inlineStr">
        <is>
          <t>1990-06-15</t>
        </is>
      </c>
      <c r="AA771" t="n">
        <v>285</v>
      </c>
      <c r="AB771" t="n">
        <v>263</v>
      </c>
      <c r="AC771" t="n">
        <v>351</v>
      </c>
      <c r="AD771" t="n">
        <v>2</v>
      </c>
      <c r="AE771" t="n">
        <v>3</v>
      </c>
      <c r="AF771" t="n">
        <v>17</v>
      </c>
      <c r="AG771" t="n">
        <v>20</v>
      </c>
      <c r="AH771" t="n">
        <v>7</v>
      </c>
      <c r="AI771" t="n">
        <v>8</v>
      </c>
      <c r="AJ771" t="n">
        <v>2</v>
      </c>
      <c r="AK771" t="n">
        <v>2</v>
      </c>
      <c r="AL771" t="n">
        <v>9</v>
      </c>
      <c r="AM771" t="n">
        <v>10</v>
      </c>
      <c r="AN771" t="n">
        <v>1</v>
      </c>
      <c r="AO771" t="n">
        <v>2</v>
      </c>
      <c r="AP771" t="n">
        <v>3</v>
      </c>
      <c r="AQ771" t="n">
        <v>3</v>
      </c>
      <c r="AR771" t="inlineStr">
        <is>
          <t>No</t>
        </is>
      </c>
      <c r="AS771" t="inlineStr">
        <is>
          <t>Yes</t>
        </is>
      </c>
      <c r="AT771">
        <f>HYPERLINK("http://catalog.hathitrust.org/Record/000484840","HathiTrust Record")</f>
        <v/>
      </c>
      <c r="AU771">
        <f>HYPERLINK("https://creighton-primo.hosted.exlibrisgroup.com/primo-explore/search?tab=default_tab&amp;search_scope=EVERYTHING&amp;vid=01CRU&amp;lang=en_US&amp;offset=0&amp;query=any,contains,991001449449702656","Catalog Record")</f>
        <v/>
      </c>
      <c r="AV771">
        <f>HYPERLINK("http://www.worldcat.org/oclc/12749726","WorldCat Record")</f>
        <v/>
      </c>
      <c r="AW771" t="inlineStr">
        <is>
          <t>5219063405:eng</t>
        </is>
      </c>
      <c r="AX771" t="inlineStr">
        <is>
          <t>12749726</t>
        </is>
      </c>
      <c r="AY771" t="inlineStr">
        <is>
          <t>991001449449702656</t>
        </is>
      </c>
      <c r="AZ771" t="inlineStr">
        <is>
          <t>991001449449702656</t>
        </is>
      </c>
      <c r="BA771" t="inlineStr">
        <is>
          <t>2257010270002656</t>
        </is>
      </c>
      <c r="BB771" t="inlineStr">
        <is>
          <t>BOOK</t>
        </is>
      </c>
      <c r="BD771" t="inlineStr">
        <is>
          <t>9780826139832</t>
        </is>
      </c>
      <c r="BE771" t="inlineStr">
        <is>
          <t>30001001882374</t>
        </is>
      </c>
      <c r="BF771" t="inlineStr">
        <is>
          <t>893552515</t>
        </is>
      </c>
    </row>
    <row r="772">
      <c r="A772" t="inlineStr">
        <is>
          <t>No</t>
        </is>
      </c>
      <c r="B772" t="inlineStr">
        <is>
          <t>CUHSL</t>
        </is>
      </c>
      <c r="C772" t="inlineStr">
        <is>
          <t>SHELVES</t>
        </is>
      </c>
      <c r="D772" t="inlineStr">
        <is>
          <t>W 84 AA1 J7i 1992</t>
        </is>
      </c>
      <c r="E772" t="inlineStr">
        <is>
          <t>0                      W  0084000AA 1                  J  7i          1992</t>
        </is>
      </c>
      <c r="F772" t="inlineStr">
        <is>
          <t>An introduction to the U.S. health care system / Steven Jonas.</t>
        </is>
      </c>
      <c r="H772" t="inlineStr">
        <is>
          <t>No</t>
        </is>
      </c>
      <c r="I772" t="inlineStr">
        <is>
          <t>1</t>
        </is>
      </c>
      <c r="J772" t="inlineStr">
        <is>
          <t>No</t>
        </is>
      </c>
      <c r="K772" t="inlineStr">
        <is>
          <t>Yes</t>
        </is>
      </c>
      <c r="L772" t="inlineStr">
        <is>
          <t>0</t>
        </is>
      </c>
      <c r="M772" t="inlineStr">
        <is>
          <t>Jonas, Steven.</t>
        </is>
      </c>
      <c r="N772" t="inlineStr">
        <is>
          <t>New York : Springer Pub. Co., c1992.</t>
        </is>
      </c>
      <c r="O772" t="inlineStr">
        <is>
          <t>1992</t>
        </is>
      </c>
      <c r="P772" t="inlineStr">
        <is>
          <t>3rd ed.</t>
        </is>
      </c>
      <c r="Q772" t="inlineStr">
        <is>
          <t>eng</t>
        </is>
      </c>
      <c r="R772" t="inlineStr">
        <is>
          <t>nyu</t>
        </is>
      </c>
      <c r="T772" t="inlineStr">
        <is>
          <t xml:space="preserve">W  </t>
        </is>
      </c>
      <c r="U772" t="n">
        <v>15</v>
      </c>
      <c r="V772" t="n">
        <v>15</v>
      </c>
      <c r="W772" t="inlineStr">
        <is>
          <t>1999-08-31</t>
        </is>
      </c>
      <c r="X772" t="inlineStr">
        <is>
          <t>1999-08-31</t>
        </is>
      </c>
      <c r="Y772" t="inlineStr">
        <is>
          <t>1992-03-10</t>
        </is>
      </c>
      <c r="Z772" t="inlineStr">
        <is>
          <t>1992-03-10</t>
        </is>
      </c>
      <c r="AA772" t="n">
        <v>217</v>
      </c>
      <c r="AB772" t="n">
        <v>201</v>
      </c>
      <c r="AC772" t="n">
        <v>1011</v>
      </c>
      <c r="AD772" t="n">
        <v>1</v>
      </c>
      <c r="AE772" t="n">
        <v>7</v>
      </c>
      <c r="AF772" t="n">
        <v>5</v>
      </c>
      <c r="AG772" t="n">
        <v>40</v>
      </c>
      <c r="AH772" t="n">
        <v>2</v>
      </c>
      <c r="AI772" t="n">
        <v>18</v>
      </c>
      <c r="AJ772" t="n">
        <v>2</v>
      </c>
      <c r="AK772" t="n">
        <v>9</v>
      </c>
      <c r="AL772" t="n">
        <v>2</v>
      </c>
      <c r="AM772" t="n">
        <v>15</v>
      </c>
      <c r="AN772" t="n">
        <v>0</v>
      </c>
      <c r="AO772" t="n">
        <v>5</v>
      </c>
      <c r="AP772" t="n">
        <v>0</v>
      </c>
      <c r="AQ772" t="n">
        <v>1</v>
      </c>
      <c r="AR772" t="inlineStr">
        <is>
          <t>No</t>
        </is>
      </c>
      <c r="AS772" t="inlineStr">
        <is>
          <t>Yes</t>
        </is>
      </c>
      <c r="AT772">
        <f>HYPERLINK("http://catalog.hathitrust.org/Record/004513681","HathiTrust Record")</f>
        <v/>
      </c>
      <c r="AU772">
        <f>HYPERLINK("https://creighton-primo.hosted.exlibrisgroup.com/primo-explore/search?tab=default_tab&amp;search_scope=EVERYTHING&amp;vid=01CRU&amp;lang=en_US&amp;offset=0&amp;query=any,contains,991000946719702656","Catalog Record")</f>
        <v/>
      </c>
      <c r="AV772">
        <f>HYPERLINK("http://www.worldcat.org/oclc/23694103","WorldCat Record")</f>
        <v/>
      </c>
      <c r="AW772" t="inlineStr">
        <is>
          <t>718996:eng</t>
        </is>
      </c>
      <c r="AX772" t="inlineStr">
        <is>
          <t>23694103</t>
        </is>
      </c>
      <c r="AY772" t="inlineStr">
        <is>
          <t>991000946719702656</t>
        </is>
      </c>
      <c r="AZ772" t="inlineStr">
        <is>
          <t>991000946719702656</t>
        </is>
      </c>
      <c r="BA772" t="inlineStr">
        <is>
          <t>2260778910002656</t>
        </is>
      </c>
      <c r="BB772" t="inlineStr">
        <is>
          <t>BOOK</t>
        </is>
      </c>
      <c r="BD772" t="inlineStr">
        <is>
          <t>9780826139849</t>
        </is>
      </c>
      <c r="BE772" t="inlineStr">
        <is>
          <t>30001002193953</t>
        </is>
      </c>
      <c r="BF772" t="inlineStr">
        <is>
          <t>893727109</t>
        </is>
      </c>
    </row>
    <row r="773">
      <c r="A773" t="inlineStr">
        <is>
          <t>No</t>
        </is>
      </c>
      <c r="B773" t="inlineStr">
        <is>
          <t>CUHSL</t>
        </is>
      </c>
      <c r="C773" t="inlineStr">
        <is>
          <t>SHELVES</t>
        </is>
      </c>
      <c r="D773" t="inlineStr">
        <is>
          <t>W 84 AA1 K17h 1993</t>
        </is>
      </c>
      <c r="E773" t="inlineStr">
        <is>
          <t>0                      W  0084000AA 1                  K  17h         1993</t>
        </is>
      </c>
      <c r="F773" t="inlineStr">
        <is>
          <t>The Hippocratic predicament : affordability, access, and accountability in American medicine / Robert M. Kaplan.</t>
        </is>
      </c>
      <c r="H773" t="inlineStr">
        <is>
          <t>No</t>
        </is>
      </c>
      <c r="I773" t="inlineStr">
        <is>
          <t>1</t>
        </is>
      </c>
      <c r="J773" t="inlineStr">
        <is>
          <t>No</t>
        </is>
      </c>
      <c r="K773" t="inlineStr">
        <is>
          <t>No</t>
        </is>
      </c>
      <c r="L773" t="inlineStr">
        <is>
          <t>0</t>
        </is>
      </c>
      <c r="M773" t="inlineStr">
        <is>
          <t>Kaplan, Robert M.</t>
        </is>
      </c>
      <c r="N773" t="inlineStr">
        <is>
          <t>San Diego : Academic Press, c1993.</t>
        </is>
      </c>
      <c r="O773" t="inlineStr">
        <is>
          <t>1993</t>
        </is>
      </c>
      <c r="Q773" t="inlineStr">
        <is>
          <t>eng</t>
        </is>
      </c>
      <c r="R773" t="inlineStr">
        <is>
          <t>cau</t>
        </is>
      </c>
      <c r="T773" t="inlineStr">
        <is>
          <t xml:space="preserve">W  </t>
        </is>
      </c>
      <c r="U773" t="n">
        <v>11</v>
      </c>
      <c r="V773" t="n">
        <v>11</v>
      </c>
      <c r="W773" t="inlineStr">
        <is>
          <t>1999-07-30</t>
        </is>
      </c>
      <c r="X773" t="inlineStr">
        <is>
          <t>1999-07-30</t>
        </is>
      </c>
      <c r="Y773" t="inlineStr">
        <is>
          <t>1993-09-02</t>
        </is>
      </c>
      <c r="Z773" t="inlineStr">
        <is>
          <t>1993-09-02</t>
        </is>
      </c>
      <c r="AA773" t="n">
        <v>281</v>
      </c>
      <c r="AB773" t="n">
        <v>253</v>
      </c>
      <c r="AC773" t="n">
        <v>255</v>
      </c>
      <c r="AD773" t="n">
        <v>3</v>
      </c>
      <c r="AE773" t="n">
        <v>3</v>
      </c>
      <c r="AF773" t="n">
        <v>12</v>
      </c>
      <c r="AG773" t="n">
        <v>12</v>
      </c>
      <c r="AH773" t="n">
        <v>2</v>
      </c>
      <c r="AI773" t="n">
        <v>2</v>
      </c>
      <c r="AJ773" t="n">
        <v>6</v>
      </c>
      <c r="AK773" t="n">
        <v>6</v>
      </c>
      <c r="AL773" t="n">
        <v>6</v>
      </c>
      <c r="AM773" t="n">
        <v>6</v>
      </c>
      <c r="AN773" t="n">
        <v>2</v>
      </c>
      <c r="AO773" t="n">
        <v>2</v>
      </c>
      <c r="AP773" t="n">
        <v>0</v>
      </c>
      <c r="AQ773" t="n">
        <v>0</v>
      </c>
      <c r="AR773" t="inlineStr">
        <is>
          <t>No</t>
        </is>
      </c>
      <c r="AS773" t="inlineStr">
        <is>
          <t>No</t>
        </is>
      </c>
      <c r="AU773">
        <f>HYPERLINK("https://creighton-primo.hosted.exlibrisgroup.com/primo-explore/search?tab=default_tab&amp;search_scope=EVERYTHING&amp;vid=01CRU&amp;lang=en_US&amp;offset=0&amp;query=any,contains,991001513669702656","Catalog Record")</f>
        <v/>
      </c>
      <c r="AV773">
        <f>HYPERLINK("http://www.worldcat.org/oclc/25788462","WorldCat Record")</f>
        <v/>
      </c>
      <c r="AW773" t="inlineStr">
        <is>
          <t>20860206:eng</t>
        </is>
      </c>
      <c r="AX773" t="inlineStr">
        <is>
          <t>25788462</t>
        </is>
      </c>
      <c r="AY773" t="inlineStr">
        <is>
          <t>991001513669702656</t>
        </is>
      </c>
      <c r="AZ773" t="inlineStr">
        <is>
          <t>991001513669702656</t>
        </is>
      </c>
      <c r="BA773" t="inlineStr">
        <is>
          <t>2254715500002656</t>
        </is>
      </c>
      <c r="BB773" t="inlineStr">
        <is>
          <t>BOOK</t>
        </is>
      </c>
      <c r="BD773" t="inlineStr">
        <is>
          <t>9780123973702</t>
        </is>
      </c>
      <c r="BE773" t="inlineStr">
        <is>
          <t>30001002601369</t>
        </is>
      </c>
      <c r="BF773" t="inlineStr">
        <is>
          <t>893149296</t>
        </is>
      </c>
    </row>
    <row r="774">
      <c r="A774" t="inlineStr">
        <is>
          <t>No</t>
        </is>
      </c>
      <c r="B774" t="inlineStr">
        <is>
          <t>CUHSL</t>
        </is>
      </c>
      <c r="C774" t="inlineStr">
        <is>
          <t>SHELVES</t>
        </is>
      </c>
      <c r="D774" t="inlineStr">
        <is>
          <t>W 84 AA1 K82m 1993</t>
        </is>
      </c>
      <c r="E774" t="inlineStr">
        <is>
          <t>0                      W  0084000AA 1                  K  82m         1993</t>
        </is>
      </c>
      <c r="F774" t="inlineStr">
        <is>
          <t>Medicine at the crossroads : the crisis in health care / Melvin Konner.</t>
        </is>
      </c>
      <c r="H774" t="inlineStr">
        <is>
          <t>No</t>
        </is>
      </c>
      <c r="I774" t="inlineStr">
        <is>
          <t>1</t>
        </is>
      </c>
      <c r="J774" t="inlineStr">
        <is>
          <t>No</t>
        </is>
      </c>
      <c r="K774" t="inlineStr">
        <is>
          <t>No</t>
        </is>
      </c>
      <c r="L774" t="inlineStr">
        <is>
          <t>0</t>
        </is>
      </c>
      <c r="M774" t="inlineStr">
        <is>
          <t>Konner, Melvin.</t>
        </is>
      </c>
      <c r="N774" t="inlineStr">
        <is>
          <t>New York : Pantheon Books, c1993.</t>
        </is>
      </c>
      <c r="O774" t="inlineStr">
        <is>
          <t>1993</t>
        </is>
      </c>
      <c r="P774" t="inlineStr">
        <is>
          <t>1st ed.</t>
        </is>
      </c>
      <c r="Q774" t="inlineStr">
        <is>
          <t>eng</t>
        </is>
      </c>
      <c r="R774" t="inlineStr">
        <is>
          <t>nyu</t>
        </is>
      </c>
      <c r="T774" t="inlineStr">
        <is>
          <t xml:space="preserve">W  </t>
        </is>
      </c>
      <c r="U774" t="n">
        <v>6</v>
      </c>
      <c r="V774" t="n">
        <v>6</v>
      </c>
      <c r="W774" t="inlineStr">
        <is>
          <t>1995-09-07</t>
        </is>
      </c>
      <c r="X774" t="inlineStr">
        <is>
          <t>1995-09-07</t>
        </is>
      </c>
      <c r="Y774" t="inlineStr">
        <is>
          <t>1993-06-15</t>
        </is>
      </c>
      <c r="Z774" t="inlineStr">
        <is>
          <t>1993-06-15</t>
        </is>
      </c>
      <c r="AA774" t="n">
        <v>577</v>
      </c>
      <c r="AB774" t="n">
        <v>551</v>
      </c>
      <c r="AC774" t="n">
        <v>628</v>
      </c>
      <c r="AD774" t="n">
        <v>2</v>
      </c>
      <c r="AE774" t="n">
        <v>2</v>
      </c>
      <c r="AF774" t="n">
        <v>13</v>
      </c>
      <c r="AG774" t="n">
        <v>17</v>
      </c>
      <c r="AH774" t="n">
        <v>6</v>
      </c>
      <c r="AI774" t="n">
        <v>8</v>
      </c>
      <c r="AJ774" t="n">
        <v>3</v>
      </c>
      <c r="AK774" t="n">
        <v>4</v>
      </c>
      <c r="AL774" t="n">
        <v>6</v>
      </c>
      <c r="AM774" t="n">
        <v>7</v>
      </c>
      <c r="AN774" t="n">
        <v>1</v>
      </c>
      <c r="AO774" t="n">
        <v>1</v>
      </c>
      <c r="AP774" t="n">
        <v>2</v>
      </c>
      <c r="AQ774" t="n">
        <v>2</v>
      </c>
      <c r="AR774" t="inlineStr">
        <is>
          <t>No</t>
        </is>
      </c>
      <c r="AS774" t="inlineStr">
        <is>
          <t>Yes</t>
        </is>
      </c>
      <c r="AT774">
        <f>HYPERLINK("http://catalog.hathitrust.org/Record/007472923","HathiTrust Record")</f>
        <v/>
      </c>
      <c r="AU774">
        <f>HYPERLINK("https://creighton-primo.hosted.exlibrisgroup.com/primo-explore/search?tab=default_tab&amp;search_scope=EVERYTHING&amp;vid=01CRU&amp;lang=en_US&amp;offset=0&amp;query=any,contains,991001481269702656","Catalog Record")</f>
        <v/>
      </c>
      <c r="AV774">
        <f>HYPERLINK("http://www.worldcat.org/oclc/26214003","WorldCat Record")</f>
        <v/>
      </c>
      <c r="AW774" t="inlineStr">
        <is>
          <t>28805424:eng</t>
        </is>
      </c>
      <c r="AX774" t="inlineStr">
        <is>
          <t>26214003</t>
        </is>
      </c>
      <c r="AY774" t="inlineStr">
        <is>
          <t>991001481269702656</t>
        </is>
      </c>
      <c r="AZ774" t="inlineStr">
        <is>
          <t>991001481269702656</t>
        </is>
      </c>
      <c r="BA774" t="inlineStr">
        <is>
          <t>2262704220002656</t>
        </is>
      </c>
      <c r="BB774" t="inlineStr">
        <is>
          <t>BOOK</t>
        </is>
      </c>
      <c r="BD774" t="inlineStr">
        <is>
          <t>9780679415459</t>
        </is>
      </c>
      <c r="BE774" t="inlineStr">
        <is>
          <t>30001002569707</t>
        </is>
      </c>
      <c r="BF774" t="inlineStr">
        <is>
          <t>893274210</t>
        </is>
      </c>
    </row>
    <row r="775">
      <c r="A775" t="inlineStr">
        <is>
          <t>No</t>
        </is>
      </c>
      <c r="B775" t="inlineStr">
        <is>
          <t>CUHSL</t>
        </is>
      </c>
      <c r="C775" t="inlineStr">
        <is>
          <t>SHELVES</t>
        </is>
      </c>
      <c r="D775" t="inlineStr">
        <is>
          <t>W 84 AA1 K88h 2000</t>
        </is>
      </c>
      <c r="E775" t="inlineStr">
        <is>
          <t>0                      W  0084000AA 1                  K  88h         2000</t>
        </is>
      </c>
      <c r="F775" t="inlineStr">
        <is>
          <t>Health care management in mind : eight careers / Anthony R. Kovner.</t>
        </is>
      </c>
      <c r="H775" t="inlineStr">
        <is>
          <t>No</t>
        </is>
      </c>
      <c r="I775" t="inlineStr">
        <is>
          <t>1</t>
        </is>
      </c>
      <c r="J775" t="inlineStr">
        <is>
          <t>No</t>
        </is>
      </c>
      <c r="K775" t="inlineStr">
        <is>
          <t>No</t>
        </is>
      </c>
      <c r="L775" t="inlineStr">
        <is>
          <t>0</t>
        </is>
      </c>
      <c r="M775" t="inlineStr">
        <is>
          <t>Kovner, Anthony R.</t>
        </is>
      </c>
      <c r="N775" t="inlineStr">
        <is>
          <t>New York : Springer, c2000.</t>
        </is>
      </c>
      <c r="O775" t="inlineStr">
        <is>
          <t>2000</t>
        </is>
      </c>
      <c r="Q775" t="inlineStr">
        <is>
          <t>eng</t>
        </is>
      </c>
      <c r="R775" t="inlineStr">
        <is>
          <t>nyu</t>
        </is>
      </c>
      <c r="T775" t="inlineStr">
        <is>
          <t xml:space="preserve">W  </t>
        </is>
      </c>
      <c r="U775" t="n">
        <v>2</v>
      </c>
      <c r="V775" t="n">
        <v>2</v>
      </c>
      <c r="W775" t="inlineStr">
        <is>
          <t>2005-10-17</t>
        </is>
      </c>
      <c r="X775" t="inlineStr">
        <is>
          <t>2005-10-17</t>
        </is>
      </c>
      <c r="Y775" t="inlineStr">
        <is>
          <t>2004-09-24</t>
        </is>
      </c>
      <c r="Z775" t="inlineStr">
        <is>
          <t>2004-09-24</t>
        </is>
      </c>
      <c r="AA775" t="n">
        <v>145</v>
      </c>
      <c r="AB775" t="n">
        <v>134</v>
      </c>
      <c r="AC775" t="n">
        <v>139</v>
      </c>
      <c r="AD775" t="n">
        <v>1</v>
      </c>
      <c r="AE775" t="n">
        <v>1</v>
      </c>
      <c r="AF775" t="n">
        <v>7</v>
      </c>
      <c r="AG775" t="n">
        <v>7</v>
      </c>
      <c r="AH775" t="n">
        <v>3</v>
      </c>
      <c r="AI775" t="n">
        <v>3</v>
      </c>
      <c r="AJ775" t="n">
        <v>2</v>
      </c>
      <c r="AK775" t="n">
        <v>2</v>
      </c>
      <c r="AL775" t="n">
        <v>3</v>
      </c>
      <c r="AM775" t="n">
        <v>3</v>
      </c>
      <c r="AN775" t="n">
        <v>0</v>
      </c>
      <c r="AO775" t="n">
        <v>0</v>
      </c>
      <c r="AP775" t="n">
        <v>0</v>
      </c>
      <c r="AQ775" t="n">
        <v>0</v>
      </c>
      <c r="AR775" t="inlineStr">
        <is>
          <t>No</t>
        </is>
      </c>
      <c r="AS775" t="inlineStr">
        <is>
          <t>No</t>
        </is>
      </c>
      <c r="AU775">
        <f>HYPERLINK("https://creighton-primo.hosted.exlibrisgroup.com/primo-explore/search?tab=default_tab&amp;search_scope=EVERYTHING&amp;vid=01CRU&amp;lang=en_US&amp;offset=0&amp;query=any,contains,991000395979702656","Catalog Record")</f>
        <v/>
      </c>
      <c r="AV775">
        <f>HYPERLINK("http://www.worldcat.org/oclc/42849691","WorldCat Record")</f>
        <v/>
      </c>
      <c r="AW775" t="inlineStr">
        <is>
          <t>10142951873:eng</t>
        </is>
      </c>
      <c r="AX775" t="inlineStr">
        <is>
          <t>42849691</t>
        </is>
      </c>
      <c r="AY775" t="inlineStr">
        <is>
          <t>991000395979702656</t>
        </is>
      </c>
      <c r="AZ775" t="inlineStr">
        <is>
          <t>991000395979702656</t>
        </is>
      </c>
      <c r="BA775" t="inlineStr">
        <is>
          <t>2269283460002656</t>
        </is>
      </c>
      <c r="BB775" t="inlineStr">
        <is>
          <t>BOOK</t>
        </is>
      </c>
      <c r="BD775" t="inlineStr">
        <is>
          <t>9780826113153</t>
        </is>
      </c>
      <c r="BE775" t="inlineStr">
        <is>
          <t>30001004979037</t>
        </is>
      </c>
      <c r="BF775" t="inlineStr">
        <is>
          <t>893151008</t>
        </is>
      </c>
    </row>
    <row r="776">
      <c r="A776" t="inlineStr">
        <is>
          <t>No</t>
        </is>
      </c>
      <c r="B776" t="inlineStr">
        <is>
          <t>CUHSL</t>
        </is>
      </c>
      <c r="C776" t="inlineStr">
        <is>
          <t>SHELVES</t>
        </is>
      </c>
      <c r="D776" t="inlineStr">
        <is>
          <t>W 84 AA1 L25m 1997</t>
        </is>
      </c>
      <c r="E776" t="inlineStr">
        <is>
          <t>0                      W  0084000AA 1                  L  25m         1997</t>
        </is>
      </c>
      <c r="F776" t="inlineStr">
        <is>
          <t>Medicine &amp; public health : the power of collaboration / by Roz D. Lasker and the Committee on Medicine and Public Health at The New York Academy of Medicine ; foreword by Mohammad N. Akhter, Nancy W. Dickey.</t>
        </is>
      </c>
      <c r="H776" t="inlineStr">
        <is>
          <t>No</t>
        </is>
      </c>
      <c r="I776" t="inlineStr">
        <is>
          <t>1</t>
        </is>
      </c>
      <c r="J776" t="inlineStr">
        <is>
          <t>No</t>
        </is>
      </c>
      <c r="K776" t="inlineStr">
        <is>
          <t>No</t>
        </is>
      </c>
      <c r="L776" t="inlineStr">
        <is>
          <t>0</t>
        </is>
      </c>
      <c r="M776" t="inlineStr">
        <is>
          <t>Lasker, Roz Diane.</t>
        </is>
      </c>
      <c r="N776" t="inlineStr">
        <is>
          <t>New York, NY : The Academy, c1997.</t>
        </is>
      </c>
      <c r="O776" t="inlineStr">
        <is>
          <t>1997</t>
        </is>
      </c>
      <c r="Q776" t="inlineStr">
        <is>
          <t>eng</t>
        </is>
      </c>
      <c r="R776" t="inlineStr">
        <is>
          <t>nyu</t>
        </is>
      </c>
      <c r="T776" t="inlineStr">
        <is>
          <t xml:space="preserve">W  </t>
        </is>
      </c>
      <c r="U776" t="n">
        <v>3</v>
      </c>
      <c r="V776" t="n">
        <v>3</v>
      </c>
      <c r="W776" t="inlineStr">
        <is>
          <t>2006-01-10</t>
        </is>
      </c>
      <c r="X776" t="inlineStr">
        <is>
          <t>2006-01-10</t>
        </is>
      </c>
      <c r="Y776" t="inlineStr">
        <is>
          <t>2002-06-25</t>
        </is>
      </c>
      <c r="Z776" t="inlineStr">
        <is>
          <t>2002-06-25</t>
        </is>
      </c>
      <c r="AA776" t="n">
        <v>240</v>
      </c>
      <c r="AB776" t="n">
        <v>221</v>
      </c>
      <c r="AC776" t="n">
        <v>257</v>
      </c>
      <c r="AD776" t="n">
        <v>2</v>
      </c>
      <c r="AE776" t="n">
        <v>2</v>
      </c>
      <c r="AF776" t="n">
        <v>9</v>
      </c>
      <c r="AG776" t="n">
        <v>10</v>
      </c>
      <c r="AH776" t="n">
        <v>2</v>
      </c>
      <c r="AI776" t="n">
        <v>2</v>
      </c>
      <c r="AJ776" t="n">
        <v>3</v>
      </c>
      <c r="AK776" t="n">
        <v>3</v>
      </c>
      <c r="AL776" t="n">
        <v>2</v>
      </c>
      <c r="AM776" t="n">
        <v>3</v>
      </c>
      <c r="AN776" t="n">
        <v>1</v>
      </c>
      <c r="AO776" t="n">
        <v>1</v>
      </c>
      <c r="AP776" t="n">
        <v>1</v>
      </c>
      <c r="AQ776" t="n">
        <v>1</v>
      </c>
      <c r="AR776" t="inlineStr">
        <is>
          <t>No</t>
        </is>
      </c>
      <c r="AS776" t="inlineStr">
        <is>
          <t>Yes</t>
        </is>
      </c>
      <c r="AT776">
        <f>HYPERLINK("http://catalog.hathitrust.org/Record/003248941","HathiTrust Record")</f>
        <v/>
      </c>
      <c r="AU776">
        <f>HYPERLINK("https://creighton-primo.hosted.exlibrisgroup.com/primo-explore/search?tab=default_tab&amp;search_scope=EVERYTHING&amp;vid=01CRU&amp;lang=en_US&amp;offset=0&amp;query=any,contains,991000317809702656","Catalog Record")</f>
        <v/>
      </c>
      <c r="AV776">
        <f>HYPERLINK("http://www.worldcat.org/oclc/37801421","WorldCat Record")</f>
        <v/>
      </c>
      <c r="AW776" t="inlineStr">
        <is>
          <t>655581:eng</t>
        </is>
      </c>
      <c r="AX776" t="inlineStr">
        <is>
          <t>37801421</t>
        </is>
      </c>
      <c r="AY776" t="inlineStr">
        <is>
          <t>991000317809702656</t>
        </is>
      </c>
      <c r="AZ776" t="inlineStr">
        <is>
          <t>991000317809702656</t>
        </is>
      </c>
      <c r="BA776" t="inlineStr">
        <is>
          <t>2256508770002656</t>
        </is>
      </c>
      <c r="BB776" t="inlineStr">
        <is>
          <t>BOOK</t>
        </is>
      </c>
      <c r="BD776" t="inlineStr">
        <is>
          <t>9780924143052</t>
        </is>
      </c>
      <c r="BE776" t="inlineStr">
        <is>
          <t>30001004443604</t>
        </is>
      </c>
      <c r="BF776" t="inlineStr">
        <is>
          <t>893644230</t>
        </is>
      </c>
    </row>
    <row r="777">
      <c r="A777" t="inlineStr">
        <is>
          <t>No</t>
        </is>
      </c>
      <c r="B777" t="inlineStr">
        <is>
          <t>CUHSL</t>
        </is>
      </c>
      <c r="C777" t="inlineStr">
        <is>
          <t>SHELVES</t>
        </is>
      </c>
      <c r="D777" t="inlineStr">
        <is>
          <t>W 84 AA1 L58h 1984</t>
        </is>
      </c>
      <c r="E777" t="inlineStr">
        <is>
          <t>0                      W  0084000AA 1                  L  58h         1984</t>
        </is>
      </c>
      <c r="F777" t="inlineStr">
        <is>
          <t>Health care administration : a managerial perspective.</t>
        </is>
      </c>
      <c r="H777" t="inlineStr">
        <is>
          <t>No</t>
        </is>
      </c>
      <c r="I777" t="inlineStr">
        <is>
          <t>1</t>
        </is>
      </c>
      <c r="J777" t="inlineStr">
        <is>
          <t>Yes</t>
        </is>
      </c>
      <c r="K777" t="inlineStr">
        <is>
          <t>No</t>
        </is>
      </c>
      <c r="L777" t="inlineStr">
        <is>
          <t>0</t>
        </is>
      </c>
      <c r="M777" t="inlineStr">
        <is>
          <t>Levey, Samuel.</t>
        </is>
      </c>
      <c r="N777" t="inlineStr">
        <is>
          <t>Philadelphia : Lippincott, c1984.</t>
        </is>
      </c>
      <c r="O777" t="inlineStr">
        <is>
          <t>1984</t>
        </is>
      </c>
      <c r="P777" t="inlineStr">
        <is>
          <t>2nd ed. / Samuel Levey, N. Paul Loomba, with the assistance of Robert E. Brown.</t>
        </is>
      </c>
      <c r="Q777" t="inlineStr">
        <is>
          <t>eng</t>
        </is>
      </c>
      <c r="R777" t="inlineStr">
        <is>
          <t>xxu</t>
        </is>
      </c>
      <c r="T777" t="inlineStr">
        <is>
          <t xml:space="preserve">W  </t>
        </is>
      </c>
      <c r="U777" t="n">
        <v>6</v>
      </c>
      <c r="V777" t="n">
        <v>6</v>
      </c>
      <c r="W777" t="inlineStr">
        <is>
          <t>2004-07-26</t>
        </is>
      </c>
      <c r="X777" t="inlineStr">
        <is>
          <t>2004-07-26</t>
        </is>
      </c>
      <c r="Y777" t="inlineStr">
        <is>
          <t>1987-12-22</t>
        </is>
      </c>
      <c r="Z777" t="inlineStr">
        <is>
          <t>1987-12-22</t>
        </is>
      </c>
      <c r="AA777" t="n">
        <v>296</v>
      </c>
      <c r="AB777" t="n">
        <v>252</v>
      </c>
      <c r="AC777" t="n">
        <v>428</v>
      </c>
      <c r="AD777" t="n">
        <v>4</v>
      </c>
      <c r="AE777" t="n">
        <v>4</v>
      </c>
      <c r="AF777" t="n">
        <v>8</v>
      </c>
      <c r="AG777" t="n">
        <v>10</v>
      </c>
      <c r="AH777" t="n">
        <v>1</v>
      </c>
      <c r="AI777" t="n">
        <v>2</v>
      </c>
      <c r="AJ777" t="n">
        <v>2</v>
      </c>
      <c r="AK777" t="n">
        <v>3</v>
      </c>
      <c r="AL777" t="n">
        <v>5</v>
      </c>
      <c r="AM777" t="n">
        <v>5</v>
      </c>
      <c r="AN777" t="n">
        <v>2</v>
      </c>
      <c r="AO777" t="n">
        <v>2</v>
      </c>
      <c r="AP777" t="n">
        <v>0</v>
      </c>
      <c r="AQ777" t="n">
        <v>0</v>
      </c>
      <c r="AR777" t="inlineStr">
        <is>
          <t>No</t>
        </is>
      </c>
      <c r="AS777" t="inlineStr">
        <is>
          <t>Yes</t>
        </is>
      </c>
      <c r="AT777">
        <f>HYPERLINK("http://catalog.hathitrust.org/Record/000780335","HathiTrust Record")</f>
        <v/>
      </c>
      <c r="AU777">
        <f>HYPERLINK("https://creighton-primo.hosted.exlibrisgroup.com/primo-explore/search?tab=default_tab&amp;search_scope=EVERYTHING&amp;vid=01CRU&amp;lang=en_US&amp;offset=0&amp;query=any,contains,991000655819702656","Catalog Record")</f>
        <v/>
      </c>
      <c r="AV777">
        <f>HYPERLINK("http://www.worldcat.org/oclc/10277824","WorldCat Record")</f>
        <v/>
      </c>
      <c r="AW777" t="inlineStr">
        <is>
          <t>889763188:eng</t>
        </is>
      </c>
      <c r="AX777" t="inlineStr">
        <is>
          <t>10277824</t>
        </is>
      </c>
      <c r="AY777" t="inlineStr">
        <is>
          <t>991000655819702656</t>
        </is>
      </c>
      <c r="AZ777" t="inlineStr">
        <is>
          <t>991000655819702656</t>
        </is>
      </c>
      <c r="BA777" t="inlineStr">
        <is>
          <t>2258483260002656</t>
        </is>
      </c>
      <c r="BB777" t="inlineStr">
        <is>
          <t>BOOK</t>
        </is>
      </c>
      <c r="BD777" t="inlineStr">
        <is>
          <t>9780397521005</t>
        </is>
      </c>
      <c r="BE777" t="inlineStr">
        <is>
          <t>30001000687907</t>
        </is>
      </c>
      <c r="BF777" t="inlineStr">
        <is>
          <t>893286814</t>
        </is>
      </c>
    </row>
    <row r="778">
      <c r="A778" t="inlineStr">
        <is>
          <t>No</t>
        </is>
      </c>
      <c r="B778" t="inlineStr">
        <is>
          <t>CUHSL</t>
        </is>
      </c>
      <c r="C778" t="inlineStr">
        <is>
          <t>SHELVES</t>
        </is>
      </c>
      <c r="D778" t="inlineStr">
        <is>
          <t>W84 AA1 M111c 1999</t>
        </is>
      </c>
      <c r="E778" t="inlineStr">
        <is>
          <t>0                      W  0084000AA 1                  M  111c        1999</t>
        </is>
      </c>
      <c r="F778" t="inlineStr">
        <is>
          <t>The culture of health : Asian communities in the United States / Grace Xueqin Ma ; foreword by Walter Tsou.</t>
        </is>
      </c>
      <c r="H778" t="inlineStr">
        <is>
          <t>No</t>
        </is>
      </c>
      <c r="I778" t="inlineStr">
        <is>
          <t>1</t>
        </is>
      </c>
      <c r="J778" t="inlineStr">
        <is>
          <t>No</t>
        </is>
      </c>
      <c r="K778" t="inlineStr">
        <is>
          <t>No</t>
        </is>
      </c>
      <c r="L778" t="inlineStr">
        <is>
          <t>0</t>
        </is>
      </c>
      <c r="M778" t="inlineStr">
        <is>
          <t>Ma, Grace Xueqin, 1962-</t>
        </is>
      </c>
      <c r="N778" t="inlineStr">
        <is>
          <t>Westport, Conn. : Bergin &amp; Garvey, 1999.</t>
        </is>
      </c>
      <c r="O778" t="inlineStr">
        <is>
          <t>1999</t>
        </is>
      </c>
      <c r="Q778" t="inlineStr">
        <is>
          <t>eng</t>
        </is>
      </c>
      <c r="R778" t="inlineStr">
        <is>
          <t>ctu</t>
        </is>
      </c>
      <c r="T778" t="inlineStr">
        <is>
          <t xml:space="preserve">W  </t>
        </is>
      </c>
      <c r="U778" t="n">
        <v>1</v>
      </c>
      <c r="V778" t="n">
        <v>1</v>
      </c>
      <c r="W778" t="inlineStr">
        <is>
          <t>2004-08-05</t>
        </is>
      </c>
      <c r="X778" t="inlineStr">
        <is>
          <t>2004-08-05</t>
        </is>
      </c>
      <c r="Y778" t="inlineStr">
        <is>
          <t>2004-06-04</t>
        </is>
      </c>
      <c r="Z778" t="inlineStr">
        <is>
          <t>2004-06-04</t>
        </is>
      </c>
      <c r="AA778" t="n">
        <v>227</v>
      </c>
      <c r="AB778" t="n">
        <v>202</v>
      </c>
      <c r="AC778" t="n">
        <v>574</v>
      </c>
      <c r="AD778" t="n">
        <v>2</v>
      </c>
      <c r="AE778" t="n">
        <v>4</v>
      </c>
      <c r="AF778" t="n">
        <v>12</v>
      </c>
      <c r="AG778" t="n">
        <v>18</v>
      </c>
      <c r="AH778" t="n">
        <v>3</v>
      </c>
      <c r="AI778" t="n">
        <v>6</v>
      </c>
      <c r="AJ778" t="n">
        <v>4</v>
      </c>
      <c r="AK778" t="n">
        <v>4</v>
      </c>
      <c r="AL778" t="n">
        <v>7</v>
      </c>
      <c r="AM778" t="n">
        <v>9</v>
      </c>
      <c r="AN778" t="n">
        <v>1</v>
      </c>
      <c r="AO778" t="n">
        <v>3</v>
      </c>
      <c r="AP778" t="n">
        <v>0</v>
      </c>
      <c r="AQ778" t="n">
        <v>0</v>
      </c>
      <c r="AR778" t="inlineStr">
        <is>
          <t>No</t>
        </is>
      </c>
      <c r="AS778" t="inlineStr">
        <is>
          <t>No</t>
        </is>
      </c>
      <c r="AU778">
        <f>HYPERLINK("https://creighton-primo.hosted.exlibrisgroup.com/primo-explore/search?tab=default_tab&amp;search_scope=EVERYTHING&amp;vid=01CRU&amp;lang=en_US&amp;offset=0&amp;query=any,contains,991000371769702656","Catalog Record")</f>
        <v/>
      </c>
      <c r="AV778">
        <f>HYPERLINK("http://www.worldcat.org/oclc/40716197","WorldCat Record")</f>
        <v/>
      </c>
      <c r="AW778" t="inlineStr">
        <is>
          <t>802686135:eng</t>
        </is>
      </c>
      <c r="AX778" t="inlineStr">
        <is>
          <t>40716197</t>
        </is>
      </c>
      <c r="AY778" t="inlineStr">
        <is>
          <t>991000371769702656</t>
        </is>
      </c>
      <c r="AZ778" t="inlineStr">
        <is>
          <t>991000371769702656</t>
        </is>
      </c>
      <c r="BA778" t="inlineStr">
        <is>
          <t>2270754130002656</t>
        </is>
      </c>
      <c r="BB778" t="inlineStr">
        <is>
          <t>BOOK</t>
        </is>
      </c>
      <c r="BD778" t="inlineStr">
        <is>
          <t>9780897896252</t>
        </is>
      </c>
      <c r="BE778" t="inlineStr">
        <is>
          <t>30001004921211</t>
        </is>
      </c>
      <c r="BF778" t="inlineStr">
        <is>
          <t>893279959</t>
        </is>
      </c>
    </row>
    <row r="779">
      <c r="A779" t="inlineStr">
        <is>
          <t>No</t>
        </is>
      </c>
      <c r="B779" t="inlineStr">
        <is>
          <t>CUHSL</t>
        </is>
      </c>
      <c r="C779" t="inlineStr">
        <is>
          <t>SHELVES</t>
        </is>
      </c>
      <c r="D779" t="inlineStr">
        <is>
          <t>W84 AA1 M365i 1998</t>
        </is>
      </c>
      <c r="E779" t="inlineStr">
        <is>
          <t>0                      W  0084000AA 1                  M  365i        1998</t>
        </is>
      </c>
      <c r="F779" t="inlineStr">
        <is>
          <t>Introduction to health care delivery : a primer for pharmacists / edited by Robert L. McCarthy.</t>
        </is>
      </c>
      <c r="H779" t="inlineStr">
        <is>
          <t>No</t>
        </is>
      </c>
      <c r="I779" t="inlineStr">
        <is>
          <t>1</t>
        </is>
      </c>
      <c r="J779" t="inlineStr">
        <is>
          <t>No</t>
        </is>
      </c>
      <c r="K779" t="inlineStr">
        <is>
          <t>Yes</t>
        </is>
      </c>
      <c r="L779" t="inlineStr">
        <is>
          <t>1</t>
        </is>
      </c>
      <c r="N779" t="inlineStr">
        <is>
          <t>Gaithersburg, Md. : Aspen Publishers, c1998.</t>
        </is>
      </c>
      <c r="O779" t="inlineStr">
        <is>
          <t>1998</t>
        </is>
      </c>
      <c r="Q779" t="inlineStr">
        <is>
          <t>eng</t>
        </is>
      </c>
      <c r="R779" t="inlineStr">
        <is>
          <t>mdu</t>
        </is>
      </c>
      <c r="T779" t="inlineStr">
        <is>
          <t xml:space="preserve">W  </t>
        </is>
      </c>
      <c r="U779" t="n">
        <v>28</v>
      </c>
      <c r="V779" t="n">
        <v>28</v>
      </c>
      <c r="W779" t="inlineStr">
        <is>
          <t>2008-10-14</t>
        </is>
      </c>
      <c r="X779" t="inlineStr">
        <is>
          <t>2008-10-14</t>
        </is>
      </c>
      <c r="Y779" t="inlineStr">
        <is>
          <t>1998-03-04</t>
        </is>
      </c>
      <c r="Z779" t="inlineStr">
        <is>
          <t>1998-03-04</t>
        </is>
      </c>
      <c r="AA779" t="n">
        <v>80</v>
      </c>
      <c r="AB779" t="n">
        <v>70</v>
      </c>
      <c r="AC779" t="n">
        <v>232</v>
      </c>
      <c r="AD779" t="n">
        <v>2</v>
      </c>
      <c r="AE779" t="n">
        <v>2</v>
      </c>
      <c r="AF779" t="n">
        <v>5</v>
      </c>
      <c r="AG779" t="n">
        <v>11</v>
      </c>
      <c r="AH779" t="n">
        <v>2</v>
      </c>
      <c r="AI779" t="n">
        <v>5</v>
      </c>
      <c r="AJ779" t="n">
        <v>2</v>
      </c>
      <c r="AK779" t="n">
        <v>3</v>
      </c>
      <c r="AL779" t="n">
        <v>1</v>
      </c>
      <c r="AM779" t="n">
        <v>4</v>
      </c>
      <c r="AN779" t="n">
        <v>1</v>
      </c>
      <c r="AO779" t="n">
        <v>1</v>
      </c>
      <c r="AP779" t="n">
        <v>0</v>
      </c>
      <c r="AQ779" t="n">
        <v>0</v>
      </c>
      <c r="AR779" t="inlineStr">
        <is>
          <t>No</t>
        </is>
      </c>
      <c r="AS779" t="inlineStr">
        <is>
          <t>Yes</t>
        </is>
      </c>
      <c r="AT779">
        <f>HYPERLINK("http://catalog.hathitrust.org/Record/004002083","HathiTrust Record")</f>
        <v/>
      </c>
      <c r="AU779">
        <f>HYPERLINK("https://creighton-primo.hosted.exlibrisgroup.com/primo-explore/search?tab=default_tab&amp;search_scope=EVERYTHING&amp;vid=01CRU&amp;lang=en_US&amp;offset=0&amp;query=any,contains,991001306659702656","Catalog Record")</f>
        <v/>
      </c>
      <c r="AV779">
        <f>HYPERLINK("http://www.worldcat.org/oclc/37580653","WorldCat Record")</f>
        <v/>
      </c>
      <c r="AW779" t="inlineStr">
        <is>
          <t>824458046:eng</t>
        </is>
      </c>
      <c r="AX779" t="inlineStr">
        <is>
          <t>37580653</t>
        </is>
      </c>
      <c r="AY779" t="inlineStr">
        <is>
          <t>991001306659702656</t>
        </is>
      </c>
      <c r="AZ779" t="inlineStr">
        <is>
          <t>991001306659702656</t>
        </is>
      </c>
      <c r="BA779" t="inlineStr">
        <is>
          <t>2258380630002656</t>
        </is>
      </c>
      <c r="BB779" t="inlineStr">
        <is>
          <t>BOOK</t>
        </is>
      </c>
      <c r="BD779" t="inlineStr">
        <is>
          <t>9780834209145</t>
        </is>
      </c>
      <c r="BE779" t="inlineStr">
        <is>
          <t>30001003749977</t>
        </is>
      </c>
      <c r="BF779" t="inlineStr">
        <is>
          <t>893557817</t>
        </is>
      </c>
    </row>
    <row r="780">
      <c r="A780" t="inlineStr">
        <is>
          <t>No</t>
        </is>
      </c>
      <c r="B780" t="inlineStr">
        <is>
          <t>CUHSL</t>
        </is>
      </c>
      <c r="C780" t="inlineStr">
        <is>
          <t>SHELVES</t>
        </is>
      </c>
      <c r="D780" t="inlineStr">
        <is>
          <t>W 84 AA1 M3685c 1994</t>
        </is>
      </c>
      <c r="E780" t="inlineStr">
        <is>
          <t>0                      W  0084000AA 1                  M  3685c       1994</t>
        </is>
      </c>
      <c r="F780" t="inlineStr">
        <is>
          <t>Continuous quality improvement in health care : theory, implementation and applications / Curtis P. McLaughlin, Arnold D. Kaluzny, [editors]</t>
        </is>
      </c>
      <c r="H780" t="inlineStr">
        <is>
          <t>No</t>
        </is>
      </c>
      <c r="I780" t="inlineStr">
        <is>
          <t>1</t>
        </is>
      </c>
      <c r="J780" t="inlineStr">
        <is>
          <t>No</t>
        </is>
      </c>
      <c r="K780" t="inlineStr">
        <is>
          <t>No</t>
        </is>
      </c>
      <c r="L780" t="inlineStr">
        <is>
          <t>0</t>
        </is>
      </c>
      <c r="N780" t="inlineStr">
        <is>
          <t>Gaithersburg, Md. : Aspen Publishers, Inc., c1994.</t>
        </is>
      </c>
      <c r="O780" t="inlineStr">
        <is>
          <t>1994</t>
        </is>
      </c>
      <c r="Q780" t="inlineStr">
        <is>
          <t>eng</t>
        </is>
      </c>
      <c r="R780" t="inlineStr">
        <is>
          <t>mdu</t>
        </is>
      </c>
      <c r="T780" t="inlineStr">
        <is>
          <t xml:space="preserve">W  </t>
        </is>
      </c>
      <c r="U780" t="n">
        <v>17</v>
      </c>
      <c r="V780" t="n">
        <v>17</v>
      </c>
      <c r="W780" t="inlineStr">
        <is>
          <t>2006-05-16</t>
        </is>
      </c>
      <c r="X780" t="inlineStr">
        <is>
          <t>2006-05-16</t>
        </is>
      </c>
      <c r="Y780" t="inlineStr">
        <is>
          <t>1995-02-13</t>
        </is>
      </c>
      <c r="Z780" t="inlineStr">
        <is>
          <t>1995-02-13</t>
        </is>
      </c>
      <c r="AA780" t="n">
        <v>261</v>
      </c>
      <c r="AB780" t="n">
        <v>228</v>
      </c>
      <c r="AC780" t="n">
        <v>498</v>
      </c>
      <c r="AD780" t="n">
        <v>3</v>
      </c>
      <c r="AE780" t="n">
        <v>4</v>
      </c>
      <c r="AF780" t="n">
        <v>7</v>
      </c>
      <c r="AG780" t="n">
        <v>24</v>
      </c>
      <c r="AH780" t="n">
        <v>3</v>
      </c>
      <c r="AI780" t="n">
        <v>9</v>
      </c>
      <c r="AJ780" t="n">
        <v>1</v>
      </c>
      <c r="AK780" t="n">
        <v>4</v>
      </c>
      <c r="AL780" t="n">
        <v>4</v>
      </c>
      <c r="AM780" t="n">
        <v>14</v>
      </c>
      <c r="AN780" t="n">
        <v>2</v>
      </c>
      <c r="AO780" t="n">
        <v>3</v>
      </c>
      <c r="AP780" t="n">
        <v>0</v>
      </c>
      <c r="AQ780" t="n">
        <v>0</v>
      </c>
      <c r="AR780" t="inlineStr">
        <is>
          <t>No</t>
        </is>
      </c>
      <c r="AS780" t="inlineStr">
        <is>
          <t>Yes</t>
        </is>
      </c>
      <c r="AT780">
        <f>HYPERLINK("http://catalog.hathitrust.org/Record/002878750","HathiTrust Record")</f>
        <v/>
      </c>
      <c r="AU780">
        <f>HYPERLINK("https://creighton-primo.hosted.exlibrisgroup.com/primo-explore/search?tab=default_tab&amp;search_scope=EVERYTHING&amp;vid=01CRU&amp;lang=en_US&amp;offset=0&amp;query=any,contains,991001397119702656","Catalog Record")</f>
        <v/>
      </c>
      <c r="AV780">
        <f>HYPERLINK("http://www.worldcat.org/oclc/29669205","WorldCat Record")</f>
        <v/>
      </c>
      <c r="AW780" t="inlineStr">
        <is>
          <t>2287425027:eng</t>
        </is>
      </c>
      <c r="AX780" t="inlineStr">
        <is>
          <t>29669205</t>
        </is>
      </c>
      <c r="AY780" t="inlineStr">
        <is>
          <t>991001397119702656</t>
        </is>
      </c>
      <c r="AZ780" t="inlineStr">
        <is>
          <t>991001397119702656</t>
        </is>
      </c>
      <c r="BA780" t="inlineStr">
        <is>
          <t>2269764560002656</t>
        </is>
      </c>
      <c r="BB780" t="inlineStr">
        <is>
          <t>BOOK</t>
        </is>
      </c>
      <c r="BD780" t="inlineStr">
        <is>
          <t>9780834205369</t>
        </is>
      </c>
      <c r="BE780" t="inlineStr">
        <is>
          <t>30001003146422</t>
        </is>
      </c>
      <c r="BF780" t="inlineStr">
        <is>
          <t>893460527</t>
        </is>
      </c>
    </row>
    <row r="781">
      <c r="A781" t="inlineStr">
        <is>
          <t>No</t>
        </is>
      </c>
      <c r="B781" t="inlineStr">
        <is>
          <t>CUHSL</t>
        </is>
      </c>
      <c r="C781" t="inlineStr">
        <is>
          <t>SHELVES</t>
        </is>
      </c>
      <c r="D781" t="inlineStr">
        <is>
          <t>W 84 AA1 M369 1993</t>
        </is>
      </c>
      <c r="E781" t="inlineStr">
        <is>
          <t>0                      W  0084000AA 1                  M  369         1993</t>
        </is>
      </c>
      <c r="F781" t="inlineStr">
        <is>
          <t>The Measurement mandate : on the road to performance improvement in health care / Joint Commission on Accreditation of Healthcare Organizations.</t>
        </is>
      </c>
      <c r="H781" t="inlineStr">
        <is>
          <t>No</t>
        </is>
      </c>
      <c r="I781" t="inlineStr">
        <is>
          <t>1</t>
        </is>
      </c>
      <c r="J781" t="inlineStr">
        <is>
          <t>No</t>
        </is>
      </c>
      <c r="K781" t="inlineStr">
        <is>
          <t>No</t>
        </is>
      </c>
      <c r="L781" t="inlineStr">
        <is>
          <t>0</t>
        </is>
      </c>
      <c r="N781" t="inlineStr">
        <is>
          <t>Oakbrook Terrace, Ill. : The Commission, c1993.</t>
        </is>
      </c>
      <c r="O781" t="inlineStr">
        <is>
          <t>1993</t>
        </is>
      </c>
      <c r="Q781" t="inlineStr">
        <is>
          <t>eng</t>
        </is>
      </c>
      <c r="R781" t="inlineStr">
        <is>
          <t>ilu</t>
        </is>
      </c>
      <c r="T781" t="inlineStr">
        <is>
          <t xml:space="preserve">W  </t>
        </is>
      </c>
      <c r="U781" t="n">
        <v>2</v>
      </c>
      <c r="V781" t="n">
        <v>2</v>
      </c>
      <c r="W781" t="inlineStr">
        <is>
          <t>1998-12-21</t>
        </is>
      </c>
      <c r="X781" t="inlineStr">
        <is>
          <t>1998-12-21</t>
        </is>
      </c>
      <c r="Y781" t="inlineStr">
        <is>
          <t>1998-01-19</t>
        </is>
      </c>
      <c r="Z781" t="inlineStr">
        <is>
          <t>1998-01-19</t>
        </is>
      </c>
      <c r="AA781" t="n">
        <v>159</v>
      </c>
      <c r="AB781" t="n">
        <v>151</v>
      </c>
      <c r="AC781" t="n">
        <v>153</v>
      </c>
      <c r="AD781" t="n">
        <v>3</v>
      </c>
      <c r="AE781" t="n">
        <v>3</v>
      </c>
      <c r="AF781" t="n">
        <v>7</v>
      </c>
      <c r="AG781" t="n">
        <v>7</v>
      </c>
      <c r="AH781" t="n">
        <v>1</v>
      </c>
      <c r="AI781" t="n">
        <v>1</v>
      </c>
      <c r="AJ781" t="n">
        <v>0</v>
      </c>
      <c r="AK781" t="n">
        <v>0</v>
      </c>
      <c r="AL781" t="n">
        <v>3</v>
      </c>
      <c r="AM781" t="n">
        <v>3</v>
      </c>
      <c r="AN781" t="n">
        <v>1</v>
      </c>
      <c r="AO781" t="n">
        <v>1</v>
      </c>
      <c r="AP781" t="n">
        <v>2</v>
      </c>
      <c r="AQ781" t="n">
        <v>2</v>
      </c>
      <c r="AR781" t="inlineStr">
        <is>
          <t>No</t>
        </is>
      </c>
      <c r="AS781" t="inlineStr">
        <is>
          <t>Yes</t>
        </is>
      </c>
      <c r="AT781">
        <f>HYPERLINK("http://catalog.hathitrust.org/Record/002801802","HathiTrust Record")</f>
        <v/>
      </c>
      <c r="AU781">
        <f>HYPERLINK("https://creighton-primo.hosted.exlibrisgroup.com/primo-explore/search?tab=default_tab&amp;search_scope=EVERYTHING&amp;vid=01CRU&amp;lang=en_US&amp;offset=0&amp;query=any,contains,991001294349702656","Catalog Record")</f>
        <v/>
      </c>
      <c r="AV781">
        <f>HYPERLINK("http://www.worldcat.org/oclc/28268101","WorldCat Record")</f>
        <v/>
      </c>
      <c r="AW781" t="inlineStr">
        <is>
          <t>55710281:eng</t>
        </is>
      </c>
      <c r="AX781" t="inlineStr">
        <is>
          <t>28268101</t>
        </is>
      </c>
      <c r="AY781" t="inlineStr">
        <is>
          <t>991001294349702656</t>
        </is>
      </c>
      <c r="AZ781" t="inlineStr">
        <is>
          <t>991001294349702656</t>
        </is>
      </c>
      <c r="BA781" t="inlineStr">
        <is>
          <t>2261274700002656</t>
        </is>
      </c>
      <c r="BB781" t="inlineStr">
        <is>
          <t>BOOK</t>
        </is>
      </c>
      <c r="BD781" t="inlineStr">
        <is>
          <t>9780866883344</t>
        </is>
      </c>
      <c r="BE781" t="inlineStr">
        <is>
          <t>30001003740364</t>
        </is>
      </c>
      <c r="BF781" t="inlineStr">
        <is>
          <t>893284655</t>
        </is>
      </c>
    </row>
    <row r="782">
      <c r="A782" t="inlineStr">
        <is>
          <t>No</t>
        </is>
      </c>
      <c r="B782" t="inlineStr">
        <is>
          <t>CUHSL</t>
        </is>
      </c>
      <c r="C782" t="inlineStr">
        <is>
          <t>SHELVES</t>
        </is>
      </c>
      <c r="D782" t="inlineStr">
        <is>
          <t>W 84 AA1 M48g 1976</t>
        </is>
      </c>
      <c r="E782" t="inlineStr">
        <is>
          <t>0                      W  0084000AA 1                  M  48g         1976</t>
        </is>
      </c>
      <c r="F782" t="inlineStr">
        <is>
          <t>The growth of bureaucratic medicine : an inquiry into the dynamics of patient behavior and the organization of medical care / David Mechanic ; with the collaboration of Linda H. Aiken ... [et al.].</t>
        </is>
      </c>
      <c r="H782" t="inlineStr">
        <is>
          <t>No</t>
        </is>
      </c>
      <c r="I782" t="inlineStr">
        <is>
          <t>1</t>
        </is>
      </c>
      <c r="J782" t="inlineStr">
        <is>
          <t>No</t>
        </is>
      </c>
      <c r="K782" t="inlineStr">
        <is>
          <t>No</t>
        </is>
      </c>
      <c r="L782" t="inlineStr">
        <is>
          <t>0</t>
        </is>
      </c>
      <c r="M782" t="inlineStr">
        <is>
          <t>Mechanic, David, 1936-</t>
        </is>
      </c>
      <c r="N782" t="inlineStr">
        <is>
          <t>New York : Wiley, c1976.</t>
        </is>
      </c>
      <c r="O782" t="inlineStr">
        <is>
          <t>1976</t>
        </is>
      </c>
      <c r="Q782" t="inlineStr">
        <is>
          <t>eng</t>
        </is>
      </c>
      <c r="R782" t="inlineStr">
        <is>
          <t>nyu</t>
        </is>
      </c>
      <c r="S782" t="inlineStr">
        <is>
          <t>Health, medicine, and society</t>
        </is>
      </c>
      <c r="T782" t="inlineStr">
        <is>
          <t xml:space="preserve">W  </t>
        </is>
      </c>
      <c r="U782" t="n">
        <v>1</v>
      </c>
      <c r="V782" t="n">
        <v>1</v>
      </c>
      <c r="W782" t="inlineStr">
        <is>
          <t>1991-08-07</t>
        </is>
      </c>
      <c r="X782" t="inlineStr">
        <is>
          <t>1991-08-07</t>
        </is>
      </c>
      <c r="Y782" t="inlineStr">
        <is>
          <t>1987-12-22</t>
        </is>
      </c>
      <c r="Z782" t="inlineStr">
        <is>
          <t>1987-12-22</t>
        </is>
      </c>
      <c r="AA782" t="n">
        <v>431</v>
      </c>
      <c r="AB782" t="n">
        <v>340</v>
      </c>
      <c r="AC782" t="n">
        <v>346</v>
      </c>
      <c r="AD782" t="n">
        <v>5</v>
      </c>
      <c r="AE782" t="n">
        <v>5</v>
      </c>
      <c r="AF782" t="n">
        <v>17</v>
      </c>
      <c r="AG782" t="n">
        <v>17</v>
      </c>
      <c r="AH782" t="n">
        <v>6</v>
      </c>
      <c r="AI782" t="n">
        <v>6</v>
      </c>
      <c r="AJ782" t="n">
        <v>3</v>
      </c>
      <c r="AK782" t="n">
        <v>3</v>
      </c>
      <c r="AL782" t="n">
        <v>10</v>
      </c>
      <c r="AM782" t="n">
        <v>10</v>
      </c>
      <c r="AN782" t="n">
        <v>3</v>
      </c>
      <c r="AO782" t="n">
        <v>3</v>
      </c>
      <c r="AP782" t="n">
        <v>0</v>
      </c>
      <c r="AQ782" t="n">
        <v>0</v>
      </c>
      <c r="AR782" t="inlineStr">
        <is>
          <t>No</t>
        </is>
      </c>
      <c r="AS782" t="inlineStr">
        <is>
          <t>Yes</t>
        </is>
      </c>
      <c r="AT782">
        <f>HYPERLINK("http://catalog.hathitrust.org/Record/000044182","HathiTrust Record")</f>
        <v/>
      </c>
      <c r="AU782">
        <f>HYPERLINK("https://creighton-primo.hosted.exlibrisgroup.com/primo-explore/search?tab=default_tab&amp;search_scope=EVERYTHING&amp;vid=01CRU&amp;lang=en_US&amp;offset=0&amp;query=any,contains,991000656099702656","Catalog Record")</f>
        <v/>
      </c>
      <c r="AV782">
        <f>HYPERLINK("http://www.worldcat.org/oclc/1676263","WorldCat Record")</f>
        <v/>
      </c>
      <c r="AW782" t="inlineStr">
        <is>
          <t>147055504:eng</t>
        </is>
      </c>
      <c r="AX782" t="inlineStr">
        <is>
          <t>1676263</t>
        </is>
      </c>
      <c r="AY782" t="inlineStr">
        <is>
          <t>991000656099702656</t>
        </is>
      </c>
      <c r="AZ782" t="inlineStr">
        <is>
          <t>991000656099702656</t>
        </is>
      </c>
      <c r="BA782" t="inlineStr">
        <is>
          <t>2265518840002656</t>
        </is>
      </c>
      <c r="BB782" t="inlineStr">
        <is>
          <t>BOOK</t>
        </is>
      </c>
      <c r="BD782" t="inlineStr">
        <is>
          <t>9780471590217</t>
        </is>
      </c>
      <c r="BE782" t="inlineStr">
        <is>
          <t>30001000687923</t>
        </is>
      </c>
      <c r="BF782" t="inlineStr">
        <is>
          <t>893730864</t>
        </is>
      </c>
    </row>
    <row r="783">
      <c r="A783" t="inlineStr">
        <is>
          <t>No</t>
        </is>
      </c>
      <c r="B783" t="inlineStr">
        <is>
          <t>CUHSL</t>
        </is>
      </c>
      <c r="C783" t="inlineStr">
        <is>
          <t>SHELVES</t>
        </is>
      </c>
      <c r="D783" t="inlineStr">
        <is>
          <t>W 84 AA1 M59d 1997</t>
        </is>
      </c>
      <c r="E783" t="inlineStr">
        <is>
          <t>0                      W  0084000AA 1                  M  59d         1997</t>
        </is>
      </c>
      <c r="F783" t="inlineStr">
        <is>
          <t>Demanding medical excellence : doctors and accountability in the information age / Michael L. Millenson.</t>
        </is>
      </c>
      <c r="H783" t="inlineStr">
        <is>
          <t>No</t>
        </is>
      </c>
      <c r="I783" t="inlineStr">
        <is>
          <t>1</t>
        </is>
      </c>
      <c r="J783" t="inlineStr">
        <is>
          <t>No</t>
        </is>
      </c>
      <c r="K783" t="inlineStr">
        <is>
          <t>No</t>
        </is>
      </c>
      <c r="L783" t="inlineStr">
        <is>
          <t>0</t>
        </is>
      </c>
      <c r="M783" t="inlineStr">
        <is>
          <t>Millenson, Michael L.</t>
        </is>
      </c>
      <c r="N783" t="inlineStr">
        <is>
          <t>Chicago, Ill. : University of Chicago Press, c1997.</t>
        </is>
      </c>
      <c r="O783" t="inlineStr">
        <is>
          <t>1997</t>
        </is>
      </c>
      <c r="Q783" t="inlineStr">
        <is>
          <t>eng</t>
        </is>
      </c>
      <c r="R783" t="inlineStr">
        <is>
          <t>ilu</t>
        </is>
      </c>
      <c r="T783" t="inlineStr">
        <is>
          <t xml:space="preserve">W  </t>
        </is>
      </c>
      <c r="U783" t="n">
        <v>4</v>
      </c>
      <c r="V783" t="n">
        <v>4</v>
      </c>
      <c r="W783" t="inlineStr">
        <is>
          <t>2006-03-11</t>
        </is>
      </c>
      <c r="X783" t="inlineStr">
        <is>
          <t>2006-03-11</t>
        </is>
      </c>
      <c r="Y783" t="inlineStr">
        <is>
          <t>1998-11-03</t>
        </is>
      </c>
      <c r="Z783" t="inlineStr">
        <is>
          <t>1998-11-03</t>
        </is>
      </c>
      <c r="AA783" t="n">
        <v>623</v>
      </c>
      <c r="AB783" t="n">
        <v>570</v>
      </c>
      <c r="AC783" t="n">
        <v>671</v>
      </c>
      <c r="AD783" t="n">
        <v>2</v>
      </c>
      <c r="AE783" t="n">
        <v>2</v>
      </c>
      <c r="AF783" t="n">
        <v>21</v>
      </c>
      <c r="AG783" t="n">
        <v>24</v>
      </c>
      <c r="AH783" t="n">
        <v>7</v>
      </c>
      <c r="AI783" t="n">
        <v>9</v>
      </c>
      <c r="AJ783" t="n">
        <v>4</v>
      </c>
      <c r="AK783" t="n">
        <v>5</v>
      </c>
      <c r="AL783" t="n">
        <v>11</v>
      </c>
      <c r="AM783" t="n">
        <v>12</v>
      </c>
      <c r="AN783" t="n">
        <v>1</v>
      </c>
      <c r="AO783" t="n">
        <v>1</v>
      </c>
      <c r="AP783" t="n">
        <v>3</v>
      </c>
      <c r="AQ783" t="n">
        <v>3</v>
      </c>
      <c r="AR783" t="inlineStr">
        <is>
          <t>No</t>
        </is>
      </c>
      <c r="AS783" t="inlineStr">
        <is>
          <t>Yes</t>
        </is>
      </c>
      <c r="AT783">
        <f>HYPERLINK("http://catalog.hathitrust.org/Record/003946608","HathiTrust Record")</f>
        <v/>
      </c>
      <c r="AU783">
        <f>HYPERLINK("https://creighton-primo.hosted.exlibrisgroup.com/primo-explore/search?tab=default_tab&amp;search_scope=EVERYTHING&amp;vid=01CRU&amp;lang=en_US&amp;offset=0&amp;query=any,contains,991000666699702656","Catalog Record")</f>
        <v/>
      </c>
      <c r="AV783">
        <f>HYPERLINK("http://www.worldcat.org/oclc/36755970","WorldCat Record")</f>
        <v/>
      </c>
      <c r="AW783" t="inlineStr">
        <is>
          <t>4020254817:eng</t>
        </is>
      </c>
      <c r="AX783" t="inlineStr">
        <is>
          <t>36755970</t>
        </is>
      </c>
      <c r="AY783" t="inlineStr">
        <is>
          <t>991000666699702656</t>
        </is>
      </c>
      <c r="AZ783" t="inlineStr">
        <is>
          <t>991000666699702656</t>
        </is>
      </c>
      <c r="BA783" t="inlineStr">
        <is>
          <t>2265844020002656</t>
        </is>
      </c>
      <c r="BB783" t="inlineStr">
        <is>
          <t>BOOK</t>
        </is>
      </c>
      <c r="BD783" t="inlineStr">
        <is>
          <t>9780226525877</t>
        </is>
      </c>
      <c r="BE783" t="inlineStr">
        <is>
          <t>30001004030658</t>
        </is>
      </c>
      <c r="BF783" t="inlineStr">
        <is>
          <t>893735268</t>
        </is>
      </c>
    </row>
    <row r="784">
      <c r="A784" t="inlineStr">
        <is>
          <t>No</t>
        </is>
      </c>
      <c r="B784" t="inlineStr">
        <is>
          <t>CUHSL</t>
        </is>
      </c>
      <c r="C784" t="inlineStr">
        <is>
          <t>SHELVES</t>
        </is>
      </c>
      <c r="D784" t="inlineStr">
        <is>
          <t>W 84 AA1 M7 1988</t>
        </is>
      </c>
      <c r="E784" t="inlineStr">
        <is>
          <t>0                      W  0084000AA 1                  M  7           1988</t>
        </is>
      </c>
      <c r="F784" t="inlineStr">
        <is>
          <t>Money, power, and health care / Evan M. Melhado, Walter Feinberg, Harold M. Swartz, editors.</t>
        </is>
      </c>
      <c r="H784" t="inlineStr">
        <is>
          <t>No</t>
        </is>
      </c>
      <c r="I784" t="inlineStr">
        <is>
          <t>1</t>
        </is>
      </c>
      <c r="J784" t="inlineStr">
        <is>
          <t>No</t>
        </is>
      </c>
      <c r="K784" t="inlineStr">
        <is>
          <t>No</t>
        </is>
      </c>
      <c r="L784" t="inlineStr">
        <is>
          <t>0</t>
        </is>
      </c>
      <c r="N784" t="inlineStr">
        <is>
          <t>Ann Arbor, Mich. : Health Administration Press, c1988.</t>
        </is>
      </c>
      <c r="O784" t="inlineStr">
        <is>
          <t>1988</t>
        </is>
      </c>
      <c r="Q784" t="inlineStr">
        <is>
          <t>eng</t>
        </is>
      </c>
      <c r="R784" t="inlineStr">
        <is>
          <t>xxu</t>
        </is>
      </c>
      <c r="T784" t="inlineStr">
        <is>
          <t xml:space="preserve">W  </t>
        </is>
      </c>
      <c r="U784" t="n">
        <v>9</v>
      </c>
      <c r="V784" t="n">
        <v>9</v>
      </c>
      <c r="W784" t="inlineStr">
        <is>
          <t>1998-01-16</t>
        </is>
      </c>
      <c r="X784" t="inlineStr">
        <is>
          <t>1998-01-16</t>
        </is>
      </c>
      <c r="Y784" t="inlineStr">
        <is>
          <t>1989-04-24</t>
        </is>
      </c>
      <c r="Z784" t="inlineStr">
        <is>
          <t>1989-04-24</t>
        </is>
      </c>
      <c r="AA784" t="n">
        <v>308</v>
      </c>
      <c r="AB784" t="n">
        <v>281</v>
      </c>
      <c r="AC784" t="n">
        <v>289</v>
      </c>
      <c r="AD784" t="n">
        <v>1</v>
      </c>
      <c r="AE784" t="n">
        <v>1</v>
      </c>
      <c r="AF784" t="n">
        <v>18</v>
      </c>
      <c r="AG784" t="n">
        <v>18</v>
      </c>
      <c r="AH784" t="n">
        <v>4</v>
      </c>
      <c r="AI784" t="n">
        <v>4</v>
      </c>
      <c r="AJ784" t="n">
        <v>5</v>
      </c>
      <c r="AK784" t="n">
        <v>5</v>
      </c>
      <c r="AL784" t="n">
        <v>9</v>
      </c>
      <c r="AM784" t="n">
        <v>9</v>
      </c>
      <c r="AN784" t="n">
        <v>0</v>
      </c>
      <c r="AO784" t="n">
        <v>0</v>
      </c>
      <c r="AP784" t="n">
        <v>5</v>
      </c>
      <c r="AQ784" t="n">
        <v>5</v>
      </c>
      <c r="AR784" t="inlineStr">
        <is>
          <t>No</t>
        </is>
      </c>
      <c r="AS784" t="inlineStr">
        <is>
          <t>Yes</t>
        </is>
      </c>
      <c r="AT784">
        <f>HYPERLINK("http://catalog.hathitrust.org/Record/000905297","HathiTrust Record")</f>
        <v/>
      </c>
      <c r="AU784">
        <f>HYPERLINK("https://creighton-primo.hosted.exlibrisgroup.com/primo-explore/search?tab=default_tab&amp;search_scope=EVERYTHING&amp;vid=01CRU&amp;lang=en_US&amp;offset=0&amp;query=any,contains,991001244289702656","Catalog Record")</f>
        <v/>
      </c>
      <c r="AV784">
        <f>HYPERLINK("http://www.worldcat.org/oclc/16832152","WorldCat Record")</f>
        <v/>
      </c>
      <c r="AW784" t="inlineStr">
        <is>
          <t>55020525:eng</t>
        </is>
      </c>
      <c r="AX784" t="inlineStr">
        <is>
          <t>16832152</t>
        </is>
      </c>
      <c r="AY784" t="inlineStr">
        <is>
          <t>991001244289702656</t>
        </is>
      </c>
      <c r="AZ784" t="inlineStr">
        <is>
          <t>991001244289702656</t>
        </is>
      </c>
      <c r="BA784" t="inlineStr">
        <is>
          <t>2254944000002656</t>
        </is>
      </c>
      <c r="BB784" t="inlineStr">
        <is>
          <t>BOOK</t>
        </is>
      </c>
      <c r="BD784" t="inlineStr">
        <is>
          <t>9780910701266</t>
        </is>
      </c>
      <c r="BE784" t="inlineStr">
        <is>
          <t>30001001676602</t>
        </is>
      </c>
      <c r="BF784" t="inlineStr">
        <is>
          <t>893557720</t>
        </is>
      </c>
    </row>
    <row r="785">
      <c r="A785" t="inlineStr">
        <is>
          <t>No</t>
        </is>
      </c>
      <c r="B785" t="inlineStr">
        <is>
          <t>CUHSL</t>
        </is>
      </c>
      <c r="C785" t="inlineStr">
        <is>
          <t>SHELVES</t>
        </is>
      </c>
      <c r="D785" t="inlineStr">
        <is>
          <t>W 84 AA1 N17f 1989</t>
        </is>
      </c>
      <c r="E785" t="inlineStr">
        <is>
          <t>0                      W  0084000AA 1                  N  17f         1989</t>
        </is>
      </c>
      <c r="F785" t="inlineStr">
        <is>
          <t>For the health of a nation : a shared responsibility / report of the National Leadership Commission on Health Care.</t>
        </is>
      </c>
      <c r="H785" t="inlineStr">
        <is>
          <t>No</t>
        </is>
      </c>
      <c r="I785" t="inlineStr">
        <is>
          <t>1</t>
        </is>
      </c>
      <c r="J785" t="inlineStr">
        <is>
          <t>No</t>
        </is>
      </c>
      <c r="K785" t="inlineStr">
        <is>
          <t>No</t>
        </is>
      </c>
      <c r="L785" t="inlineStr">
        <is>
          <t>0</t>
        </is>
      </c>
      <c r="M785" t="inlineStr">
        <is>
          <t>National Leadership Commission on Health Care (U.S.)</t>
        </is>
      </c>
      <c r="N785" t="inlineStr">
        <is>
          <t>Ann Arbor, Mich. : Health Administration Press, c1989.</t>
        </is>
      </c>
      <c r="O785" t="inlineStr">
        <is>
          <t>1989</t>
        </is>
      </c>
      <c r="Q785" t="inlineStr">
        <is>
          <t>eng</t>
        </is>
      </c>
      <c r="R785" t="inlineStr">
        <is>
          <t>xxu</t>
        </is>
      </c>
      <c r="T785" t="inlineStr">
        <is>
          <t xml:space="preserve">W  </t>
        </is>
      </c>
      <c r="U785" t="n">
        <v>4</v>
      </c>
      <c r="V785" t="n">
        <v>4</v>
      </c>
      <c r="W785" t="inlineStr">
        <is>
          <t>1993-07-01</t>
        </is>
      </c>
      <c r="X785" t="inlineStr">
        <is>
          <t>1993-07-01</t>
        </is>
      </c>
      <c r="Y785" t="inlineStr">
        <is>
          <t>1990-01-11</t>
        </is>
      </c>
      <c r="Z785" t="inlineStr">
        <is>
          <t>1990-01-11</t>
        </is>
      </c>
      <c r="AA785" t="n">
        <v>334</v>
      </c>
      <c r="AB785" t="n">
        <v>313</v>
      </c>
      <c r="AC785" t="n">
        <v>316</v>
      </c>
      <c r="AD785" t="n">
        <v>1</v>
      </c>
      <c r="AE785" t="n">
        <v>1</v>
      </c>
      <c r="AF785" t="n">
        <v>20</v>
      </c>
      <c r="AG785" t="n">
        <v>20</v>
      </c>
      <c r="AH785" t="n">
        <v>5</v>
      </c>
      <c r="AI785" t="n">
        <v>5</v>
      </c>
      <c r="AJ785" t="n">
        <v>5</v>
      </c>
      <c r="AK785" t="n">
        <v>5</v>
      </c>
      <c r="AL785" t="n">
        <v>10</v>
      </c>
      <c r="AM785" t="n">
        <v>10</v>
      </c>
      <c r="AN785" t="n">
        <v>0</v>
      </c>
      <c r="AO785" t="n">
        <v>0</v>
      </c>
      <c r="AP785" t="n">
        <v>5</v>
      </c>
      <c r="AQ785" t="n">
        <v>5</v>
      </c>
      <c r="AR785" t="inlineStr">
        <is>
          <t>No</t>
        </is>
      </c>
      <c r="AS785" t="inlineStr">
        <is>
          <t>Yes</t>
        </is>
      </c>
      <c r="AT785">
        <f>HYPERLINK("http://catalog.hathitrust.org/Record/004509977","HathiTrust Record")</f>
        <v/>
      </c>
      <c r="AU785">
        <f>HYPERLINK("https://creighton-primo.hosted.exlibrisgroup.com/primo-explore/search?tab=default_tab&amp;search_scope=EVERYTHING&amp;vid=01CRU&amp;lang=en_US&amp;offset=0&amp;query=any,contains,991001383369702656","Catalog Record")</f>
        <v/>
      </c>
      <c r="AV785">
        <f>HYPERLINK("http://www.worldcat.org/oclc/19672691","WorldCat Record")</f>
        <v/>
      </c>
      <c r="AW785" t="inlineStr">
        <is>
          <t>9236761613:eng</t>
        </is>
      </c>
      <c r="AX785" t="inlineStr">
        <is>
          <t>19672691</t>
        </is>
      </c>
      <c r="AY785" t="inlineStr">
        <is>
          <t>991001383369702656</t>
        </is>
      </c>
      <c r="AZ785" t="inlineStr">
        <is>
          <t>991001383369702656</t>
        </is>
      </c>
      <c r="BA785" t="inlineStr">
        <is>
          <t>2259820580002656</t>
        </is>
      </c>
      <c r="BB785" t="inlineStr">
        <is>
          <t>BOOK</t>
        </is>
      </c>
      <c r="BD785" t="inlineStr">
        <is>
          <t>9780910701518</t>
        </is>
      </c>
      <c r="BE785" t="inlineStr">
        <is>
          <t>30001001799214</t>
        </is>
      </c>
      <c r="BF785" t="inlineStr">
        <is>
          <t>893649148</t>
        </is>
      </c>
    </row>
    <row r="786">
      <c r="A786" t="inlineStr">
        <is>
          <t>No</t>
        </is>
      </c>
      <c r="B786" t="inlineStr">
        <is>
          <t>CUHSL</t>
        </is>
      </c>
      <c r="C786" t="inlineStr">
        <is>
          <t>SHELVES</t>
        </is>
      </c>
      <c r="D786" t="inlineStr">
        <is>
          <t>W 84 AA1 O4c 1996</t>
        </is>
      </c>
      <c r="E786" t="inlineStr">
        <is>
          <t>0                      W  0084000AA 1                  O  4c          1996</t>
        </is>
      </c>
      <c r="F786" t="inlineStr">
        <is>
          <t>Clinical performance data : a guide to interpretation / Margaret R. O'Leary.</t>
        </is>
      </c>
      <c r="H786" t="inlineStr">
        <is>
          <t>No</t>
        </is>
      </c>
      <c r="I786" t="inlineStr">
        <is>
          <t>1</t>
        </is>
      </c>
      <c r="J786" t="inlineStr">
        <is>
          <t>No</t>
        </is>
      </c>
      <c r="K786" t="inlineStr">
        <is>
          <t>No</t>
        </is>
      </c>
      <c r="L786" t="inlineStr">
        <is>
          <t>0</t>
        </is>
      </c>
      <c r="M786" t="inlineStr">
        <is>
          <t>O'Leary, Margaret R.</t>
        </is>
      </c>
      <c r="N786" t="inlineStr">
        <is>
          <t>Oakbrook Terrace, IL : Joint Commission on Accreditation of Healthcare Organizations, c1996.</t>
        </is>
      </c>
      <c r="O786" t="inlineStr">
        <is>
          <t>1996</t>
        </is>
      </c>
      <c r="Q786" t="inlineStr">
        <is>
          <t>eng</t>
        </is>
      </c>
      <c r="R786" t="inlineStr">
        <is>
          <t>xxu</t>
        </is>
      </c>
      <c r="T786" t="inlineStr">
        <is>
          <t xml:space="preserve">W  </t>
        </is>
      </c>
      <c r="U786" t="n">
        <v>6</v>
      </c>
      <c r="V786" t="n">
        <v>6</v>
      </c>
      <c r="W786" t="inlineStr">
        <is>
          <t>2002-03-25</t>
        </is>
      </c>
      <c r="X786" t="inlineStr">
        <is>
          <t>2002-03-25</t>
        </is>
      </c>
      <c r="Y786" t="inlineStr">
        <is>
          <t>1997-12-18</t>
        </is>
      </c>
      <c r="Z786" t="inlineStr">
        <is>
          <t>1997-12-18</t>
        </is>
      </c>
      <c r="AA786" t="n">
        <v>18</v>
      </c>
      <c r="AB786" t="n">
        <v>15</v>
      </c>
      <c r="AC786" t="n">
        <v>51</v>
      </c>
      <c r="AD786" t="n">
        <v>1</v>
      </c>
      <c r="AE786" t="n">
        <v>1</v>
      </c>
      <c r="AF786" t="n">
        <v>0</v>
      </c>
      <c r="AG786" t="n">
        <v>0</v>
      </c>
      <c r="AH786" t="n">
        <v>0</v>
      </c>
      <c r="AI786" t="n">
        <v>0</v>
      </c>
      <c r="AJ786" t="n">
        <v>0</v>
      </c>
      <c r="AK786" t="n">
        <v>0</v>
      </c>
      <c r="AL786" t="n">
        <v>0</v>
      </c>
      <c r="AM786" t="n">
        <v>0</v>
      </c>
      <c r="AN786" t="n">
        <v>0</v>
      </c>
      <c r="AO786" t="n">
        <v>0</v>
      </c>
      <c r="AP786" t="n">
        <v>0</v>
      </c>
      <c r="AQ786" t="n">
        <v>0</v>
      </c>
      <c r="AR786" t="inlineStr">
        <is>
          <t>No</t>
        </is>
      </c>
      <c r="AS786" t="inlineStr">
        <is>
          <t>No</t>
        </is>
      </c>
      <c r="AU786">
        <f>HYPERLINK("https://creighton-primo.hosted.exlibrisgroup.com/primo-explore/search?tab=default_tab&amp;search_scope=EVERYTHING&amp;vid=01CRU&amp;lang=en_US&amp;offset=0&amp;query=any,contains,991001562339702656","Catalog Record")</f>
        <v/>
      </c>
      <c r="AV786">
        <f>HYPERLINK("http://www.worldcat.org/oclc/35744517","WorldCat Record")</f>
        <v/>
      </c>
      <c r="AW786" t="inlineStr">
        <is>
          <t>39404574:eng</t>
        </is>
      </c>
      <c r="AX786" t="inlineStr">
        <is>
          <t>35744517</t>
        </is>
      </c>
      <c r="AY786" t="inlineStr">
        <is>
          <t>991001562339702656</t>
        </is>
      </c>
      <c r="AZ786" t="inlineStr">
        <is>
          <t>991001562339702656</t>
        </is>
      </c>
      <c r="BA786" t="inlineStr">
        <is>
          <t>2261994440002656</t>
        </is>
      </c>
      <c r="BB786" t="inlineStr">
        <is>
          <t>BOOK</t>
        </is>
      </c>
      <c r="BD786" t="inlineStr">
        <is>
          <t>9780866884341</t>
        </is>
      </c>
      <c r="BE786" t="inlineStr">
        <is>
          <t>30001003605021</t>
        </is>
      </c>
      <c r="BF786" t="inlineStr">
        <is>
          <t>893168270</t>
        </is>
      </c>
    </row>
    <row r="787">
      <c r="A787" t="inlineStr">
        <is>
          <t>No</t>
        </is>
      </c>
      <c r="B787" t="inlineStr">
        <is>
          <t>CUHSL</t>
        </is>
      </c>
      <c r="C787" t="inlineStr">
        <is>
          <t>SHELVES</t>
        </is>
      </c>
      <c r="D787" t="inlineStr">
        <is>
          <t>W 84 AA1 P168s 1991</t>
        </is>
      </c>
      <c r="E787" t="inlineStr">
        <is>
          <t>0                      W  0084000AA 1                  P  168s        1991</t>
        </is>
      </c>
      <c r="F787" t="inlineStr">
        <is>
          <t>Striving for quality in health care : an inquiry into policy and practice / R. Heather Palmer, Avedis Donabedian, Gail J. Povar.</t>
        </is>
      </c>
      <c r="H787" t="inlineStr">
        <is>
          <t>No</t>
        </is>
      </c>
      <c r="I787" t="inlineStr">
        <is>
          <t>1</t>
        </is>
      </c>
      <c r="J787" t="inlineStr">
        <is>
          <t>No</t>
        </is>
      </c>
      <c r="K787" t="inlineStr">
        <is>
          <t>No</t>
        </is>
      </c>
      <c r="L787" t="inlineStr">
        <is>
          <t>0</t>
        </is>
      </c>
      <c r="M787" t="inlineStr">
        <is>
          <t>Palmer, R. Heather (Ruth Heather), 1939-</t>
        </is>
      </c>
      <c r="N787" t="inlineStr">
        <is>
          <t>Ann Arbor, Mich. : Health Administration Press, c1991.</t>
        </is>
      </c>
      <c r="O787" t="inlineStr">
        <is>
          <t>1991</t>
        </is>
      </c>
      <c r="Q787" t="inlineStr">
        <is>
          <t>eng</t>
        </is>
      </c>
      <c r="R787" t="inlineStr">
        <is>
          <t>miu</t>
        </is>
      </c>
      <c r="T787" t="inlineStr">
        <is>
          <t xml:space="preserve">W  </t>
        </is>
      </c>
      <c r="U787" t="n">
        <v>11</v>
      </c>
      <c r="V787" t="n">
        <v>11</v>
      </c>
      <c r="W787" t="inlineStr">
        <is>
          <t>2007-03-13</t>
        </is>
      </c>
      <c r="X787" t="inlineStr">
        <is>
          <t>2007-03-13</t>
        </is>
      </c>
      <c r="Y787" t="inlineStr">
        <is>
          <t>1994-04-15</t>
        </is>
      </c>
      <c r="Z787" t="inlineStr">
        <is>
          <t>1994-04-15</t>
        </is>
      </c>
      <c r="AA787" t="n">
        <v>170</v>
      </c>
      <c r="AB787" t="n">
        <v>142</v>
      </c>
      <c r="AC787" t="n">
        <v>149</v>
      </c>
      <c r="AD787" t="n">
        <v>1</v>
      </c>
      <c r="AE787" t="n">
        <v>1</v>
      </c>
      <c r="AF787" t="n">
        <v>10</v>
      </c>
      <c r="AG787" t="n">
        <v>10</v>
      </c>
      <c r="AH787" t="n">
        <v>3</v>
      </c>
      <c r="AI787" t="n">
        <v>3</v>
      </c>
      <c r="AJ787" t="n">
        <v>3</v>
      </c>
      <c r="AK787" t="n">
        <v>3</v>
      </c>
      <c r="AL787" t="n">
        <v>7</v>
      </c>
      <c r="AM787" t="n">
        <v>7</v>
      </c>
      <c r="AN787" t="n">
        <v>0</v>
      </c>
      <c r="AO787" t="n">
        <v>0</v>
      </c>
      <c r="AP787" t="n">
        <v>1</v>
      </c>
      <c r="AQ787" t="n">
        <v>1</v>
      </c>
      <c r="AR787" t="inlineStr">
        <is>
          <t>No</t>
        </is>
      </c>
      <c r="AS787" t="inlineStr">
        <is>
          <t>Yes</t>
        </is>
      </c>
      <c r="AT787">
        <f>HYPERLINK("http://catalog.hathitrust.org/Record/004513276","HathiTrust Record")</f>
        <v/>
      </c>
      <c r="AU787">
        <f>HYPERLINK("https://creighton-primo.hosted.exlibrisgroup.com/primo-explore/search?tab=default_tab&amp;search_scope=EVERYTHING&amp;vid=01CRU&amp;lang=en_US&amp;offset=0&amp;query=any,contains,991001160169702656","Catalog Record")</f>
        <v/>
      </c>
      <c r="AV787">
        <f>HYPERLINK("http://www.worldcat.org/oclc/23287801","WorldCat Record")</f>
        <v/>
      </c>
      <c r="AW787" t="inlineStr">
        <is>
          <t>1020768771:eng</t>
        </is>
      </c>
      <c r="AX787" t="inlineStr">
        <is>
          <t>23287801</t>
        </is>
      </c>
      <c r="AY787" t="inlineStr">
        <is>
          <t>991001160169702656</t>
        </is>
      </c>
      <c r="AZ787" t="inlineStr">
        <is>
          <t>991001160169702656</t>
        </is>
      </c>
      <c r="BA787" t="inlineStr">
        <is>
          <t>2271971750002656</t>
        </is>
      </c>
      <c r="BB787" t="inlineStr">
        <is>
          <t>BOOK</t>
        </is>
      </c>
      <c r="BD787" t="inlineStr">
        <is>
          <t>9780910701693</t>
        </is>
      </c>
      <c r="BE787" t="inlineStr">
        <is>
          <t>30001002973917</t>
        </is>
      </c>
      <c r="BF787" t="inlineStr">
        <is>
          <t>893552193</t>
        </is>
      </c>
    </row>
    <row r="788">
      <c r="A788" t="inlineStr">
        <is>
          <t>No</t>
        </is>
      </c>
      <c r="B788" t="inlineStr">
        <is>
          <t>CUHSL</t>
        </is>
      </c>
      <c r="C788" t="inlineStr">
        <is>
          <t>SHELVES</t>
        </is>
      </c>
      <c r="D788" t="inlineStr">
        <is>
          <t>W84 AA1 P286 2005</t>
        </is>
      </c>
      <c r="E788" t="inlineStr">
        <is>
          <t>0                      W  0084000AA 1                  P  286         2005</t>
        </is>
      </c>
      <c r="F788" t="inlineStr">
        <is>
          <t>Patient safety : essentials for health care / Joint Commission Resources.</t>
        </is>
      </c>
      <c r="H788" t="inlineStr">
        <is>
          <t>No</t>
        </is>
      </c>
      <c r="I788" t="inlineStr">
        <is>
          <t>1</t>
        </is>
      </c>
      <c r="J788" t="inlineStr">
        <is>
          <t>No</t>
        </is>
      </c>
      <c r="K788" t="inlineStr">
        <is>
          <t>No</t>
        </is>
      </c>
      <c r="L788" t="inlineStr">
        <is>
          <t>0</t>
        </is>
      </c>
      <c r="N788" t="inlineStr">
        <is>
          <t>Oakbrook Terrace, IL : Joint Commission on Accreditation of Healthcare Organizations, c2005.</t>
        </is>
      </c>
      <c r="O788" t="inlineStr">
        <is>
          <t>2003</t>
        </is>
      </c>
      <c r="Q788" t="inlineStr">
        <is>
          <t>eng</t>
        </is>
      </c>
      <c r="R788" t="inlineStr">
        <is>
          <t>ilu</t>
        </is>
      </c>
      <c r="T788" t="inlineStr">
        <is>
          <t xml:space="preserve">W  </t>
        </is>
      </c>
      <c r="U788" t="n">
        <v>7</v>
      </c>
      <c r="V788" t="n">
        <v>7</v>
      </c>
      <c r="W788" t="inlineStr">
        <is>
          <t>2009-01-05</t>
        </is>
      </c>
      <c r="X788" t="inlineStr">
        <is>
          <t>2009-01-05</t>
        </is>
      </c>
      <c r="Y788" t="inlineStr">
        <is>
          <t>2005-02-25</t>
        </is>
      </c>
      <c r="Z788" t="inlineStr">
        <is>
          <t>2005-02-25</t>
        </is>
      </c>
      <c r="AA788" t="n">
        <v>18</v>
      </c>
      <c r="AB788" t="n">
        <v>17</v>
      </c>
      <c r="AC788" t="n">
        <v>88</v>
      </c>
      <c r="AD788" t="n">
        <v>1</v>
      </c>
      <c r="AE788" t="n">
        <v>2</v>
      </c>
      <c r="AF788" t="n">
        <v>1</v>
      </c>
      <c r="AG788" t="n">
        <v>3</v>
      </c>
      <c r="AH788" t="n">
        <v>0</v>
      </c>
      <c r="AI788" t="n">
        <v>0</v>
      </c>
      <c r="AJ788" t="n">
        <v>1</v>
      </c>
      <c r="AK788" t="n">
        <v>1</v>
      </c>
      <c r="AL788" t="n">
        <v>0</v>
      </c>
      <c r="AM788" t="n">
        <v>1</v>
      </c>
      <c r="AN788" t="n">
        <v>0</v>
      </c>
      <c r="AO788" t="n">
        <v>1</v>
      </c>
      <c r="AP788" t="n">
        <v>0</v>
      </c>
      <c r="AQ788" t="n">
        <v>0</v>
      </c>
      <c r="AR788" t="inlineStr">
        <is>
          <t>No</t>
        </is>
      </c>
      <c r="AS788" t="inlineStr">
        <is>
          <t>No</t>
        </is>
      </c>
      <c r="AU788">
        <f>HYPERLINK("https://creighton-primo.hosted.exlibrisgroup.com/primo-explore/search?tab=default_tab&amp;search_scope=EVERYTHING&amp;vid=01CRU&amp;lang=en_US&amp;offset=0&amp;query=any,contains,991000429329702656","Catalog Record")</f>
        <v/>
      </c>
      <c r="AV788">
        <f>HYPERLINK("http://www.worldcat.org/oclc/52037640","WorldCat Record")</f>
        <v/>
      </c>
      <c r="AW788" t="inlineStr">
        <is>
          <t>56913681:eng</t>
        </is>
      </c>
      <c r="AX788" t="inlineStr">
        <is>
          <t>52037640</t>
        </is>
      </c>
      <c r="AY788" t="inlineStr">
        <is>
          <t>991000429329702656</t>
        </is>
      </c>
      <c r="AZ788" t="inlineStr">
        <is>
          <t>991000429329702656</t>
        </is>
      </c>
      <c r="BA788" t="inlineStr">
        <is>
          <t>2272500270002656</t>
        </is>
      </c>
      <c r="BB788" t="inlineStr">
        <is>
          <t>BOOK</t>
        </is>
      </c>
      <c r="BD788" t="inlineStr">
        <is>
          <t>9780866889018</t>
        </is>
      </c>
      <c r="BE788" t="inlineStr">
        <is>
          <t>30001004928042</t>
        </is>
      </c>
      <c r="BF788" t="inlineStr">
        <is>
          <t>893285545</t>
        </is>
      </c>
    </row>
    <row r="789">
      <c r="A789" t="inlineStr">
        <is>
          <t>No</t>
        </is>
      </c>
      <c r="B789" t="inlineStr">
        <is>
          <t>CUHSL</t>
        </is>
      </c>
      <c r="C789" t="inlineStr">
        <is>
          <t>SHELVES</t>
        </is>
      </c>
      <c r="D789" t="inlineStr">
        <is>
          <t>W 84 AA1 P4 1988</t>
        </is>
      </c>
      <c r="E789" t="inlineStr">
        <is>
          <t>0                      W  0084000AA 1                  P  4           1988</t>
        </is>
      </c>
      <c r="F789" t="inlineStr">
        <is>
          <t>Perspectives on quality in American health care / Edward F.X. Hughes (editor) ; [with contributions by Donald M. Berwick ... et al.].</t>
        </is>
      </c>
      <c r="H789" t="inlineStr">
        <is>
          <t>No</t>
        </is>
      </c>
      <c r="I789" t="inlineStr">
        <is>
          <t>1</t>
        </is>
      </c>
      <c r="J789" t="inlineStr">
        <is>
          <t>No</t>
        </is>
      </c>
      <c r="K789" t="inlineStr">
        <is>
          <t>No</t>
        </is>
      </c>
      <c r="L789" t="inlineStr">
        <is>
          <t>0</t>
        </is>
      </c>
      <c r="N789" t="inlineStr">
        <is>
          <t>Washington, DC : McGraw-Hill Book Co., Healthcare Information Center, c1988.</t>
        </is>
      </c>
      <c r="O789" t="inlineStr">
        <is>
          <t>1988</t>
        </is>
      </c>
      <c r="Q789" t="inlineStr">
        <is>
          <t>eng</t>
        </is>
      </c>
      <c r="R789" t="inlineStr">
        <is>
          <t>xxu</t>
        </is>
      </c>
      <c r="T789" t="inlineStr">
        <is>
          <t xml:space="preserve">W  </t>
        </is>
      </c>
      <c r="U789" t="n">
        <v>10</v>
      </c>
      <c r="V789" t="n">
        <v>10</v>
      </c>
      <c r="W789" t="inlineStr">
        <is>
          <t>1997-02-04</t>
        </is>
      </c>
      <c r="X789" t="inlineStr">
        <is>
          <t>1997-02-04</t>
        </is>
      </c>
      <c r="Y789" t="inlineStr">
        <is>
          <t>1989-04-04</t>
        </is>
      </c>
      <c r="Z789" t="inlineStr">
        <is>
          <t>1989-04-04</t>
        </is>
      </c>
      <c r="AA789" t="n">
        <v>160</v>
      </c>
      <c r="AB789" t="n">
        <v>152</v>
      </c>
      <c r="AC789" t="n">
        <v>152</v>
      </c>
      <c r="AD789" t="n">
        <v>1</v>
      </c>
      <c r="AE789" t="n">
        <v>1</v>
      </c>
      <c r="AF789" t="n">
        <v>6</v>
      </c>
      <c r="AG789" t="n">
        <v>6</v>
      </c>
      <c r="AH789" t="n">
        <v>0</v>
      </c>
      <c r="AI789" t="n">
        <v>0</v>
      </c>
      <c r="AJ789" t="n">
        <v>2</v>
      </c>
      <c r="AK789" t="n">
        <v>2</v>
      </c>
      <c r="AL789" t="n">
        <v>4</v>
      </c>
      <c r="AM789" t="n">
        <v>4</v>
      </c>
      <c r="AN789" t="n">
        <v>0</v>
      </c>
      <c r="AO789" t="n">
        <v>0</v>
      </c>
      <c r="AP789" t="n">
        <v>2</v>
      </c>
      <c r="AQ789" t="n">
        <v>2</v>
      </c>
      <c r="AR789" t="inlineStr">
        <is>
          <t>No</t>
        </is>
      </c>
      <c r="AS789" t="inlineStr">
        <is>
          <t>No</t>
        </is>
      </c>
      <c r="AU789">
        <f>HYPERLINK("https://creighton-primo.hosted.exlibrisgroup.com/primo-explore/search?tab=default_tab&amp;search_scope=EVERYTHING&amp;vid=01CRU&amp;lang=en_US&amp;offset=0&amp;query=any,contains,991001243359702656","Catalog Record")</f>
        <v/>
      </c>
      <c r="AV789">
        <f>HYPERLINK("http://www.worldcat.org/oclc/17620883","WorldCat Record")</f>
        <v/>
      </c>
      <c r="AW789" t="inlineStr">
        <is>
          <t>15736590:eng</t>
        </is>
      </c>
      <c r="AX789" t="inlineStr">
        <is>
          <t>17620883</t>
        </is>
      </c>
      <c r="AY789" t="inlineStr">
        <is>
          <t>991001243359702656</t>
        </is>
      </c>
      <c r="AZ789" t="inlineStr">
        <is>
          <t>991001243359702656</t>
        </is>
      </c>
      <c r="BA789" t="inlineStr">
        <is>
          <t>2258769680002656</t>
        </is>
      </c>
      <c r="BB789" t="inlineStr">
        <is>
          <t>BOOK</t>
        </is>
      </c>
      <c r="BD789" t="inlineStr">
        <is>
          <t>9780070311206</t>
        </is>
      </c>
      <c r="BE789" t="inlineStr">
        <is>
          <t>30001001676289</t>
        </is>
      </c>
      <c r="BF789" t="inlineStr">
        <is>
          <t>893273924</t>
        </is>
      </c>
    </row>
    <row r="790">
      <c r="A790" t="inlineStr">
        <is>
          <t>No</t>
        </is>
      </c>
      <c r="B790" t="inlineStr">
        <is>
          <t>CUHSL</t>
        </is>
      </c>
      <c r="C790" t="inlineStr">
        <is>
          <t>SHELVES</t>
        </is>
      </c>
      <c r="D790" t="inlineStr">
        <is>
          <t>W 84 AA1 P4995 2002</t>
        </is>
      </c>
      <c r="E790" t="inlineStr">
        <is>
          <t>0                      W  0084000AA 1                  P  4995        2002</t>
        </is>
      </c>
      <c r="F790" t="inlineStr">
        <is>
          <t>A Physician's guide to health care management / edited by Daniel M. Albert.</t>
        </is>
      </c>
      <c r="H790" t="inlineStr">
        <is>
          <t>No</t>
        </is>
      </c>
      <c r="I790" t="inlineStr">
        <is>
          <t>1</t>
        </is>
      </c>
      <c r="J790" t="inlineStr">
        <is>
          <t>No</t>
        </is>
      </c>
      <c r="K790" t="inlineStr">
        <is>
          <t>No</t>
        </is>
      </c>
      <c r="L790" t="inlineStr">
        <is>
          <t>0</t>
        </is>
      </c>
      <c r="N790" t="inlineStr">
        <is>
          <t>Malden, Mass. : Blackwell Science, c2002.</t>
        </is>
      </c>
      <c r="O790" t="inlineStr">
        <is>
          <t>2002</t>
        </is>
      </c>
      <c r="Q790" t="inlineStr">
        <is>
          <t>eng</t>
        </is>
      </c>
      <c r="R790" t="inlineStr">
        <is>
          <t>mau</t>
        </is>
      </c>
      <c r="T790" t="inlineStr">
        <is>
          <t xml:space="preserve">W  </t>
        </is>
      </c>
      <c r="U790" t="n">
        <v>2</v>
      </c>
      <c r="V790" t="n">
        <v>2</v>
      </c>
      <c r="W790" t="inlineStr">
        <is>
          <t>2008-09-21</t>
        </is>
      </c>
      <c r="X790" t="inlineStr">
        <is>
          <t>2008-09-21</t>
        </is>
      </c>
      <c r="Y790" t="inlineStr">
        <is>
          <t>2004-08-27</t>
        </is>
      </c>
      <c r="Z790" t="inlineStr">
        <is>
          <t>2004-08-27</t>
        </is>
      </c>
      <c r="AA790" t="n">
        <v>106</v>
      </c>
      <c r="AB790" t="n">
        <v>86</v>
      </c>
      <c r="AC790" t="n">
        <v>86</v>
      </c>
      <c r="AD790" t="n">
        <v>1</v>
      </c>
      <c r="AE790" t="n">
        <v>1</v>
      </c>
      <c r="AF790" t="n">
        <v>3</v>
      </c>
      <c r="AG790" t="n">
        <v>3</v>
      </c>
      <c r="AH790" t="n">
        <v>1</v>
      </c>
      <c r="AI790" t="n">
        <v>1</v>
      </c>
      <c r="AJ790" t="n">
        <v>0</v>
      </c>
      <c r="AK790" t="n">
        <v>0</v>
      </c>
      <c r="AL790" t="n">
        <v>2</v>
      </c>
      <c r="AM790" t="n">
        <v>2</v>
      </c>
      <c r="AN790" t="n">
        <v>0</v>
      </c>
      <c r="AO790" t="n">
        <v>0</v>
      </c>
      <c r="AP790" t="n">
        <v>0</v>
      </c>
      <c r="AQ790" t="n">
        <v>0</v>
      </c>
      <c r="AR790" t="inlineStr">
        <is>
          <t>No</t>
        </is>
      </c>
      <c r="AS790" t="inlineStr">
        <is>
          <t>No</t>
        </is>
      </c>
      <c r="AU790">
        <f>HYPERLINK("https://creighton-primo.hosted.exlibrisgroup.com/primo-explore/search?tab=default_tab&amp;search_scope=EVERYTHING&amp;vid=01CRU&amp;lang=en_US&amp;offset=0&amp;query=any,contains,991000379539702656","Catalog Record")</f>
        <v/>
      </c>
      <c r="AV790">
        <f>HYPERLINK("http://www.worldcat.org/oclc/47013921","WorldCat Record")</f>
        <v/>
      </c>
      <c r="AW790" t="inlineStr">
        <is>
          <t>56682944:eng</t>
        </is>
      </c>
      <c r="AX790" t="inlineStr">
        <is>
          <t>47013921</t>
        </is>
      </c>
      <c r="AY790" t="inlineStr">
        <is>
          <t>991000379539702656</t>
        </is>
      </c>
      <c r="AZ790" t="inlineStr">
        <is>
          <t>991000379539702656</t>
        </is>
      </c>
      <c r="BA790" t="inlineStr">
        <is>
          <t>2255244290002656</t>
        </is>
      </c>
      <c r="BB790" t="inlineStr">
        <is>
          <t>BOOK</t>
        </is>
      </c>
      <c r="BD790" t="inlineStr">
        <is>
          <t>9780632045815</t>
        </is>
      </c>
      <c r="BE790" t="inlineStr">
        <is>
          <t>30001004219897</t>
        </is>
      </c>
      <c r="BF790" t="inlineStr">
        <is>
          <t>893644346</t>
        </is>
      </c>
    </row>
    <row r="791">
      <c r="A791" t="inlineStr">
        <is>
          <t>No</t>
        </is>
      </c>
      <c r="B791" t="inlineStr">
        <is>
          <t>CUHSL</t>
        </is>
      </c>
      <c r="C791" t="inlineStr">
        <is>
          <t>SHELVES</t>
        </is>
      </c>
      <c r="D791" t="inlineStr">
        <is>
          <t>W 84 AA1 P69d 1992</t>
        </is>
      </c>
      <c r="E791" t="inlineStr">
        <is>
          <t>0                      W  0084000AA 1                  P  69d         1992</t>
        </is>
      </c>
      <c r="F791" t="inlineStr">
        <is>
          <t>The demography of health and health care / Louis G. Pol, Richard K. Thomas.</t>
        </is>
      </c>
      <c r="H791" t="inlineStr">
        <is>
          <t>No</t>
        </is>
      </c>
      <c r="I791" t="inlineStr">
        <is>
          <t>1</t>
        </is>
      </c>
      <c r="J791" t="inlineStr">
        <is>
          <t>Yes</t>
        </is>
      </c>
      <c r="K791" t="inlineStr">
        <is>
          <t>No</t>
        </is>
      </c>
      <c r="L791" t="inlineStr">
        <is>
          <t>1</t>
        </is>
      </c>
      <c r="M791" t="inlineStr">
        <is>
          <t>Pol, Louis G.</t>
        </is>
      </c>
      <c r="N791" t="inlineStr">
        <is>
          <t>New York : Plenum Press, c1992.</t>
        </is>
      </c>
      <c r="O791" t="inlineStr">
        <is>
          <t>1992</t>
        </is>
      </c>
      <c r="Q791" t="inlineStr">
        <is>
          <t>eng</t>
        </is>
      </c>
      <c r="R791" t="inlineStr">
        <is>
          <t>xxu</t>
        </is>
      </c>
      <c r="S791" t="inlineStr">
        <is>
          <t>The Plenum series on demographic methods and population analysis.</t>
        </is>
      </c>
      <c r="T791" t="inlineStr">
        <is>
          <t xml:space="preserve">W  </t>
        </is>
      </c>
      <c r="U791" t="n">
        <v>6</v>
      </c>
      <c r="V791" t="n">
        <v>6</v>
      </c>
      <c r="W791" t="inlineStr">
        <is>
          <t>1997-11-24</t>
        </is>
      </c>
      <c r="X791" t="inlineStr">
        <is>
          <t>1997-11-24</t>
        </is>
      </c>
      <c r="Y791" t="inlineStr">
        <is>
          <t>1992-05-06</t>
        </is>
      </c>
      <c r="Z791" t="inlineStr">
        <is>
          <t>1992-05-06</t>
        </is>
      </c>
      <c r="AA791" t="n">
        <v>374</v>
      </c>
      <c r="AB791" t="n">
        <v>289</v>
      </c>
      <c r="AC791" t="n">
        <v>1223</v>
      </c>
      <c r="AD791" t="n">
        <v>3</v>
      </c>
      <c r="AE791" t="n">
        <v>30</v>
      </c>
      <c r="AF791" t="n">
        <v>15</v>
      </c>
      <c r="AG791" t="n">
        <v>44</v>
      </c>
      <c r="AH791" t="n">
        <v>6</v>
      </c>
      <c r="AI791" t="n">
        <v>14</v>
      </c>
      <c r="AJ791" t="n">
        <v>3</v>
      </c>
      <c r="AK791" t="n">
        <v>8</v>
      </c>
      <c r="AL791" t="n">
        <v>12</v>
      </c>
      <c r="AM791" t="n">
        <v>18</v>
      </c>
      <c r="AN791" t="n">
        <v>1</v>
      </c>
      <c r="AO791" t="n">
        <v>14</v>
      </c>
      <c r="AP791" t="n">
        <v>0</v>
      </c>
      <c r="AQ791" t="n">
        <v>0</v>
      </c>
      <c r="AR791" t="inlineStr">
        <is>
          <t>No</t>
        </is>
      </c>
      <c r="AS791" t="inlineStr">
        <is>
          <t>Yes</t>
        </is>
      </c>
      <c r="AT791">
        <f>HYPERLINK("http://catalog.hathitrust.org/Record/002536692","HathiTrust Record")</f>
        <v/>
      </c>
      <c r="AU791">
        <f>HYPERLINK("https://creighton-primo.hosted.exlibrisgroup.com/primo-explore/search?tab=default_tab&amp;search_scope=EVERYTHING&amp;vid=01CRU&amp;lang=en_US&amp;offset=0&amp;query=any,contains,991001300889702656","Catalog Record")</f>
        <v/>
      </c>
      <c r="AV791">
        <f>HYPERLINK("http://www.worldcat.org/oclc/25163392","WorldCat Record")</f>
        <v/>
      </c>
      <c r="AW791" t="inlineStr">
        <is>
          <t>998269:eng</t>
        </is>
      </c>
      <c r="AX791" t="inlineStr">
        <is>
          <t>25163392</t>
        </is>
      </c>
      <c r="AY791" t="inlineStr">
        <is>
          <t>991001300889702656</t>
        </is>
      </c>
      <c r="AZ791" t="inlineStr">
        <is>
          <t>991001300889702656</t>
        </is>
      </c>
      <c r="BA791" t="inlineStr">
        <is>
          <t>2261652470002656</t>
        </is>
      </c>
      <c r="BB791" t="inlineStr">
        <is>
          <t>BOOK</t>
        </is>
      </c>
      <c r="BD791" t="inlineStr">
        <is>
          <t>9780306439810</t>
        </is>
      </c>
      <c r="BE791" t="inlineStr">
        <is>
          <t>30001002411686</t>
        </is>
      </c>
      <c r="BF791" t="inlineStr">
        <is>
          <t>893740976</t>
        </is>
      </c>
    </row>
    <row r="792">
      <c r="A792" t="inlineStr">
        <is>
          <t>No</t>
        </is>
      </c>
      <c r="B792" t="inlineStr">
        <is>
          <t>CUHSL</t>
        </is>
      </c>
      <c r="C792" t="inlineStr">
        <is>
          <t>SHELVES</t>
        </is>
      </c>
      <c r="D792" t="inlineStr">
        <is>
          <t>W 84 AA1 P7 1981</t>
        </is>
      </c>
      <c r="E792" t="inlineStr">
        <is>
          <t>0                      W  0084000AA 1                  P  7           1981</t>
        </is>
      </c>
      <c r="F792" t="inlineStr">
        <is>
          <t>Politics and health care / edited by John B. McKinlay.</t>
        </is>
      </c>
      <c r="H792" t="inlineStr">
        <is>
          <t>No</t>
        </is>
      </c>
      <c r="I792" t="inlineStr">
        <is>
          <t>1</t>
        </is>
      </c>
      <c r="J792" t="inlineStr">
        <is>
          <t>No</t>
        </is>
      </c>
      <c r="K792" t="inlineStr">
        <is>
          <t>No</t>
        </is>
      </c>
      <c r="L792" t="inlineStr">
        <is>
          <t>0</t>
        </is>
      </c>
      <c r="N792" t="inlineStr">
        <is>
          <t>Cambridge, Mass. : MIT Press, c1981.</t>
        </is>
      </c>
      <c r="O792" t="inlineStr">
        <is>
          <t>1981</t>
        </is>
      </c>
      <c r="Q792" t="inlineStr">
        <is>
          <t>eng</t>
        </is>
      </c>
      <c r="R792" t="inlineStr">
        <is>
          <t>xxu</t>
        </is>
      </c>
      <c r="S792" t="inlineStr">
        <is>
          <t>Milbank reader ; 6</t>
        </is>
      </c>
      <c r="T792" t="inlineStr">
        <is>
          <t xml:space="preserve">W  </t>
        </is>
      </c>
      <c r="U792" t="n">
        <v>1</v>
      </c>
      <c r="V792" t="n">
        <v>1</v>
      </c>
      <c r="W792" t="inlineStr">
        <is>
          <t>1998-10-15</t>
        </is>
      </c>
      <c r="X792" t="inlineStr">
        <is>
          <t>1998-10-15</t>
        </is>
      </c>
      <c r="Y792" t="inlineStr">
        <is>
          <t>1987-12-22</t>
        </is>
      </c>
      <c r="Z792" t="inlineStr">
        <is>
          <t>1987-12-22</t>
        </is>
      </c>
      <c r="AA792" t="n">
        <v>184</v>
      </c>
      <c r="AB792" t="n">
        <v>152</v>
      </c>
      <c r="AC792" t="n">
        <v>159</v>
      </c>
      <c r="AD792" t="n">
        <v>2</v>
      </c>
      <c r="AE792" t="n">
        <v>2</v>
      </c>
      <c r="AF792" t="n">
        <v>2</v>
      </c>
      <c r="AG792" t="n">
        <v>2</v>
      </c>
      <c r="AH792" t="n">
        <v>0</v>
      </c>
      <c r="AI792" t="n">
        <v>0</v>
      </c>
      <c r="AJ792" t="n">
        <v>0</v>
      </c>
      <c r="AK792" t="n">
        <v>0</v>
      </c>
      <c r="AL792" t="n">
        <v>0</v>
      </c>
      <c r="AM792" t="n">
        <v>0</v>
      </c>
      <c r="AN792" t="n">
        <v>1</v>
      </c>
      <c r="AO792" t="n">
        <v>1</v>
      </c>
      <c r="AP792" t="n">
        <v>1</v>
      </c>
      <c r="AQ792" t="n">
        <v>1</v>
      </c>
      <c r="AR792" t="inlineStr">
        <is>
          <t>No</t>
        </is>
      </c>
      <c r="AS792" t="inlineStr">
        <is>
          <t>Yes</t>
        </is>
      </c>
      <c r="AT792">
        <f>HYPERLINK("http://catalog.hathitrust.org/Record/000102319","HathiTrust Record")</f>
        <v/>
      </c>
      <c r="AU792">
        <f>HYPERLINK("https://creighton-primo.hosted.exlibrisgroup.com/primo-explore/search?tab=default_tab&amp;search_scope=EVERYTHING&amp;vid=01CRU&amp;lang=en_US&amp;offset=0&amp;query=any,contains,991000656139702656","Catalog Record")</f>
        <v/>
      </c>
      <c r="AV792">
        <f>HYPERLINK("http://www.worldcat.org/oclc/7733670","WorldCat Record")</f>
        <v/>
      </c>
      <c r="AW792" t="inlineStr">
        <is>
          <t>29681387:eng</t>
        </is>
      </c>
      <c r="AX792" t="inlineStr">
        <is>
          <t>7733670</t>
        </is>
      </c>
      <c r="AY792" t="inlineStr">
        <is>
          <t>991000656139702656</t>
        </is>
      </c>
      <c r="AZ792" t="inlineStr">
        <is>
          <t>991000656139702656</t>
        </is>
      </c>
      <c r="BA792" t="inlineStr">
        <is>
          <t>2270023420002656</t>
        </is>
      </c>
      <c r="BB792" t="inlineStr">
        <is>
          <t>BOOK</t>
        </is>
      </c>
      <c r="BD792" t="inlineStr">
        <is>
          <t>9780262131810</t>
        </is>
      </c>
      <c r="BE792" t="inlineStr">
        <is>
          <t>30001000687931</t>
        </is>
      </c>
      <c r="BF792" t="inlineStr">
        <is>
          <t>893133174</t>
        </is>
      </c>
    </row>
    <row r="793">
      <c r="A793" t="inlineStr">
        <is>
          <t>No</t>
        </is>
      </c>
      <c r="B793" t="inlineStr">
        <is>
          <t>CUHSL</t>
        </is>
      </c>
      <c r="C793" t="inlineStr">
        <is>
          <t>SHELVES</t>
        </is>
      </c>
      <c r="D793" t="inlineStr">
        <is>
          <t>W 84 AA1 Q2 1976</t>
        </is>
      </c>
      <c r="E793" t="inlineStr">
        <is>
          <t>0                      W  0084000AA 1                  Q  2           1976</t>
        </is>
      </c>
      <c r="F793" t="inlineStr">
        <is>
          <t>Quality assurance in health care / edited by Richard H. Egdahl and Paul M. Gertman.</t>
        </is>
      </c>
      <c r="H793" t="inlineStr">
        <is>
          <t>No</t>
        </is>
      </c>
      <c r="I793" t="inlineStr">
        <is>
          <t>1</t>
        </is>
      </c>
      <c r="J793" t="inlineStr">
        <is>
          <t>No</t>
        </is>
      </c>
      <c r="K793" t="inlineStr">
        <is>
          <t>No</t>
        </is>
      </c>
      <c r="L793" t="inlineStr">
        <is>
          <t>0</t>
        </is>
      </c>
      <c r="N793" t="inlineStr">
        <is>
          <t>Germantown, Md. : Aspen Systems Corp., c1976.</t>
        </is>
      </c>
      <c r="O793" t="inlineStr">
        <is>
          <t>1976</t>
        </is>
      </c>
      <c r="Q793" t="inlineStr">
        <is>
          <t>eng</t>
        </is>
      </c>
      <c r="R793" t="inlineStr">
        <is>
          <t>mdu</t>
        </is>
      </c>
      <c r="T793" t="inlineStr">
        <is>
          <t xml:space="preserve">W  </t>
        </is>
      </c>
      <c r="U793" t="n">
        <v>6</v>
      </c>
      <c r="V793" t="n">
        <v>6</v>
      </c>
      <c r="W793" t="inlineStr">
        <is>
          <t>1988-11-03</t>
        </is>
      </c>
      <c r="X793" t="inlineStr">
        <is>
          <t>1988-11-03</t>
        </is>
      </c>
      <c r="Y793" t="inlineStr">
        <is>
          <t>1987-12-21</t>
        </is>
      </c>
      <c r="Z793" t="inlineStr">
        <is>
          <t>1987-12-21</t>
        </is>
      </c>
      <c r="AA793" t="n">
        <v>294</v>
      </c>
      <c r="AB793" t="n">
        <v>265</v>
      </c>
      <c r="AC793" t="n">
        <v>271</v>
      </c>
      <c r="AD793" t="n">
        <v>2</v>
      </c>
      <c r="AE793" t="n">
        <v>2</v>
      </c>
      <c r="AF793" t="n">
        <v>8</v>
      </c>
      <c r="AG793" t="n">
        <v>8</v>
      </c>
      <c r="AH793" t="n">
        <v>2</v>
      </c>
      <c r="AI793" t="n">
        <v>2</v>
      </c>
      <c r="AJ793" t="n">
        <v>2</v>
      </c>
      <c r="AK793" t="n">
        <v>2</v>
      </c>
      <c r="AL793" t="n">
        <v>7</v>
      </c>
      <c r="AM793" t="n">
        <v>7</v>
      </c>
      <c r="AN793" t="n">
        <v>1</v>
      </c>
      <c r="AO793" t="n">
        <v>1</v>
      </c>
      <c r="AP793" t="n">
        <v>0</v>
      </c>
      <c r="AQ793" t="n">
        <v>0</v>
      </c>
      <c r="AR793" t="inlineStr">
        <is>
          <t>No</t>
        </is>
      </c>
      <c r="AS793" t="inlineStr">
        <is>
          <t>Yes</t>
        </is>
      </c>
      <c r="AT793">
        <f>HYPERLINK("http://catalog.hathitrust.org/Record/000744399","HathiTrust Record")</f>
        <v/>
      </c>
      <c r="AU793">
        <f>HYPERLINK("https://creighton-primo.hosted.exlibrisgroup.com/primo-explore/search?tab=default_tab&amp;search_scope=EVERYTHING&amp;vid=01CRU&amp;lang=en_US&amp;offset=0&amp;query=any,contains,991000656609702656","Catalog Record")</f>
        <v/>
      </c>
      <c r="AV793">
        <f>HYPERLINK("http://www.worldcat.org/oclc/2421629","WorldCat Record")</f>
        <v/>
      </c>
      <c r="AW793" t="inlineStr">
        <is>
          <t>557981:eng</t>
        </is>
      </c>
      <c r="AX793" t="inlineStr">
        <is>
          <t>2421629</t>
        </is>
      </c>
      <c r="AY793" t="inlineStr">
        <is>
          <t>991000656609702656</t>
        </is>
      </c>
      <c r="AZ793" t="inlineStr">
        <is>
          <t>991000656609702656</t>
        </is>
      </c>
      <c r="BA793" t="inlineStr">
        <is>
          <t>2263795850002656</t>
        </is>
      </c>
      <c r="BB793" t="inlineStr">
        <is>
          <t>BOOK</t>
        </is>
      </c>
      <c r="BD793" t="inlineStr">
        <is>
          <t>9780912862231</t>
        </is>
      </c>
      <c r="BE793" t="inlineStr">
        <is>
          <t>30001000687980</t>
        </is>
      </c>
      <c r="BF793" t="inlineStr">
        <is>
          <t>893277868</t>
        </is>
      </c>
    </row>
    <row r="794">
      <c r="A794" t="inlineStr">
        <is>
          <t>No</t>
        </is>
      </c>
      <c r="B794" t="inlineStr">
        <is>
          <t>CUHSL</t>
        </is>
      </c>
      <c r="C794" t="inlineStr">
        <is>
          <t>SHELVES</t>
        </is>
      </c>
      <c r="D794" t="inlineStr">
        <is>
          <t>W 84 AA1 R2272 2010</t>
        </is>
      </c>
      <c r="E794" t="inlineStr">
        <is>
          <t>0                      W  0084000AA 1                  R  2272        2010</t>
        </is>
      </c>
      <c r="F794" t="inlineStr">
        <is>
          <t>Redesigning innovative healthcare operation and the role of knowledge management / M. Saito ... [et al.].</t>
        </is>
      </c>
      <c r="H794" t="inlineStr">
        <is>
          <t>No</t>
        </is>
      </c>
      <c r="I794" t="inlineStr">
        <is>
          <t>1</t>
        </is>
      </c>
      <c r="J794" t="inlineStr">
        <is>
          <t>No</t>
        </is>
      </c>
      <c r="K794" t="inlineStr">
        <is>
          <t>No</t>
        </is>
      </c>
      <c r="L794" t="inlineStr">
        <is>
          <t>0</t>
        </is>
      </c>
      <c r="N794" t="inlineStr">
        <is>
          <t>Hershey, PA : Medical Information Science Reference, c2010.</t>
        </is>
      </c>
      <c r="O794" t="inlineStr">
        <is>
          <t>2010</t>
        </is>
      </c>
      <c r="Q794" t="inlineStr">
        <is>
          <t>eng</t>
        </is>
      </c>
      <c r="R794" t="inlineStr">
        <is>
          <t>pau</t>
        </is>
      </c>
      <c r="T794" t="inlineStr">
        <is>
          <t xml:space="preserve">W  </t>
        </is>
      </c>
      <c r="U794" t="n">
        <v>0</v>
      </c>
      <c r="V794" t="n">
        <v>0</v>
      </c>
      <c r="W794" t="inlineStr">
        <is>
          <t>2010-03-09</t>
        </is>
      </c>
      <c r="X794" t="inlineStr">
        <is>
          <t>2010-03-09</t>
        </is>
      </c>
      <c r="Y794" t="inlineStr">
        <is>
          <t>2010-03-02</t>
        </is>
      </c>
      <c r="Z794" t="inlineStr">
        <is>
          <t>2010-03-02</t>
        </is>
      </c>
      <c r="AA794" t="n">
        <v>77</v>
      </c>
      <c r="AB794" t="n">
        <v>50</v>
      </c>
      <c r="AC794" t="n">
        <v>400</v>
      </c>
      <c r="AD794" t="n">
        <v>1</v>
      </c>
      <c r="AE794" t="n">
        <v>15</v>
      </c>
      <c r="AF794" t="n">
        <v>0</v>
      </c>
      <c r="AG794" t="n">
        <v>12</v>
      </c>
      <c r="AH794" t="n">
        <v>0</v>
      </c>
      <c r="AI794" t="n">
        <v>4</v>
      </c>
      <c r="AJ794" t="n">
        <v>0</v>
      </c>
      <c r="AK794" t="n">
        <v>1</v>
      </c>
      <c r="AL794" t="n">
        <v>0</v>
      </c>
      <c r="AM794" t="n">
        <v>1</v>
      </c>
      <c r="AN794" t="n">
        <v>0</v>
      </c>
      <c r="AO794" t="n">
        <v>8</v>
      </c>
      <c r="AP794" t="n">
        <v>0</v>
      </c>
      <c r="AQ794" t="n">
        <v>0</v>
      </c>
      <c r="AR794" t="inlineStr">
        <is>
          <t>No</t>
        </is>
      </c>
      <c r="AS794" t="inlineStr">
        <is>
          <t>No</t>
        </is>
      </c>
      <c r="AU794">
        <f>HYPERLINK("https://creighton-primo.hosted.exlibrisgroup.com/primo-explore/search?tab=default_tab&amp;search_scope=EVERYTHING&amp;vid=01CRU&amp;lang=en_US&amp;offset=0&amp;query=any,contains,991001576489702656","Catalog Record")</f>
        <v/>
      </c>
      <c r="AV794">
        <f>HYPERLINK("http://www.worldcat.org/oclc/312728587","WorldCat Record")</f>
        <v/>
      </c>
      <c r="AW794" t="inlineStr">
        <is>
          <t>863354838:eng</t>
        </is>
      </c>
      <c r="AX794" t="inlineStr">
        <is>
          <t>312728587</t>
        </is>
      </c>
      <c r="AY794" t="inlineStr">
        <is>
          <t>991001576489702656</t>
        </is>
      </c>
      <c r="AZ794" t="inlineStr">
        <is>
          <t>991001576489702656</t>
        </is>
      </c>
      <c r="BA794" t="inlineStr">
        <is>
          <t>2272300700002656</t>
        </is>
      </c>
      <c r="BB794" t="inlineStr">
        <is>
          <t>BOOK</t>
        </is>
      </c>
      <c r="BD794" t="inlineStr">
        <is>
          <t>9781605662848</t>
        </is>
      </c>
      <c r="BE794" t="inlineStr">
        <is>
          <t>30001005364072</t>
        </is>
      </c>
      <c r="BF794" t="inlineStr">
        <is>
          <t>893162164</t>
        </is>
      </c>
    </row>
    <row r="795">
      <c r="A795" t="inlineStr">
        <is>
          <t>No</t>
        </is>
      </c>
      <c r="B795" t="inlineStr">
        <is>
          <t>CUHSL</t>
        </is>
      </c>
      <c r="C795" t="inlineStr">
        <is>
          <t>SHELVES</t>
        </is>
      </c>
      <c r="D795" t="inlineStr">
        <is>
          <t>W 84 AA1 R5m 1983</t>
        </is>
      </c>
      <c r="E795" t="inlineStr">
        <is>
          <t>0                      W  0084000AA 1                  R  5m          1983</t>
        </is>
      </c>
      <c r="F795" t="inlineStr">
        <is>
          <t>Medical risk management : preventive legal strategies for health care providers / Edward P. Richards, III, Katharine C. Rathbun.</t>
        </is>
      </c>
      <c r="H795" t="inlineStr">
        <is>
          <t>No</t>
        </is>
      </c>
      <c r="I795" t="inlineStr">
        <is>
          <t>1</t>
        </is>
      </c>
      <c r="J795" t="inlineStr">
        <is>
          <t>No</t>
        </is>
      </c>
      <c r="K795" t="inlineStr">
        <is>
          <t>No</t>
        </is>
      </c>
      <c r="L795" t="inlineStr">
        <is>
          <t>0</t>
        </is>
      </c>
      <c r="M795" t="inlineStr">
        <is>
          <t>Richards, Edward P.</t>
        </is>
      </c>
      <c r="N795" t="inlineStr">
        <is>
          <t>Rockville, Md. : Aspen Systems Corp., c1983.</t>
        </is>
      </c>
      <c r="O795" t="inlineStr">
        <is>
          <t>1983</t>
        </is>
      </c>
      <c r="Q795" t="inlineStr">
        <is>
          <t>eng</t>
        </is>
      </c>
      <c r="R795" t="inlineStr">
        <is>
          <t>xxu</t>
        </is>
      </c>
      <c r="T795" t="inlineStr">
        <is>
          <t xml:space="preserve">W  </t>
        </is>
      </c>
      <c r="U795" t="n">
        <v>6</v>
      </c>
      <c r="V795" t="n">
        <v>6</v>
      </c>
      <c r="W795" t="inlineStr">
        <is>
          <t>1995-03-20</t>
        </is>
      </c>
      <c r="X795" t="inlineStr">
        <is>
          <t>1995-03-20</t>
        </is>
      </c>
      <c r="Y795" t="inlineStr">
        <is>
          <t>1987-12-22</t>
        </is>
      </c>
      <c r="Z795" t="inlineStr">
        <is>
          <t>1987-12-22</t>
        </is>
      </c>
      <c r="AA795" t="n">
        <v>201</v>
      </c>
      <c r="AB795" t="n">
        <v>187</v>
      </c>
      <c r="AC795" t="n">
        <v>189</v>
      </c>
      <c r="AD795" t="n">
        <v>2</v>
      </c>
      <c r="AE795" t="n">
        <v>2</v>
      </c>
      <c r="AF795" t="n">
        <v>10</v>
      </c>
      <c r="AG795" t="n">
        <v>10</v>
      </c>
      <c r="AH795" t="n">
        <v>0</v>
      </c>
      <c r="AI795" t="n">
        <v>0</v>
      </c>
      <c r="AJ795" t="n">
        <v>2</v>
      </c>
      <c r="AK795" t="n">
        <v>2</v>
      </c>
      <c r="AL795" t="n">
        <v>3</v>
      </c>
      <c r="AM795" t="n">
        <v>3</v>
      </c>
      <c r="AN795" t="n">
        <v>0</v>
      </c>
      <c r="AO795" t="n">
        <v>0</v>
      </c>
      <c r="AP795" t="n">
        <v>7</v>
      </c>
      <c r="AQ795" t="n">
        <v>7</v>
      </c>
      <c r="AR795" t="inlineStr">
        <is>
          <t>No</t>
        </is>
      </c>
      <c r="AS795" t="inlineStr">
        <is>
          <t>Yes</t>
        </is>
      </c>
      <c r="AT795">
        <f>HYPERLINK("http://catalog.hathitrust.org/Record/000310188","HathiTrust Record")</f>
        <v/>
      </c>
      <c r="AU795">
        <f>HYPERLINK("https://creighton-primo.hosted.exlibrisgroup.com/primo-explore/search?tab=default_tab&amp;search_scope=EVERYTHING&amp;vid=01CRU&amp;lang=en_US&amp;offset=0&amp;query=any,contains,991000656819702656","Catalog Record")</f>
        <v/>
      </c>
      <c r="AV795">
        <f>HYPERLINK("http://www.worldcat.org/oclc/8764085","WorldCat Record")</f>
        <v/>
      </c>
      <c r="AW795" t="inlineStr">
        <is>
          <t>8277040:eng</t>
        </is>
      </c>
      <c r="AX795" t="inlineStr">
        <is>
          <t>8764085</t>
        </is>
      </c>
      <c r="AY795" t="inlineStr">
        <is>
          <t>991000656819702656</t>
        </is>
      </c>
      <c r="AZ795" t="inlineStr">
        <is>
          <t>991000656819702656</t>
        </is>
      </c>
      <c r="BA795" t="inlineStr">
        <is>
          <t>2268122900002656</t>
        </is>
      </c>
      <c r="BB795" t="inlineStr">
        <is>
          <t>BOOK</t>
        </is>
      </c>
      <c r="BD795" t="inlineStr">
        <is>
          <t>9780894438400</t>
        </is>
      </c>
      <c r="BE795" t="inlineStr">
        <is>
          <t>30001000688004</t>
        </is>
      </c>
      <c r="BF795" t="inlineStr">
        <is>
          <t>893459580</t>
        </is>
      </c>
    </row>
    <row r="796">
      <c r="A796" t="inlineStr">
        <is>
          <t>No</t>
        </is>
      </c>
      <c r="B796" t="inlineStr">
        <is>
          <t>CUHSL</t>
        </is>
      </c>
      <c r="C796" t="inlineStr">
        <is>
          <t>SHELVES</t>
        </is>
      </c>
      <c r="D796" t="inlineStr">
        <is>
          <t>W 84 AA1 S18f 1998</t>
        </is>
      </c>
      <c r="E796" t="inlineStr">
        <is>
          <t>0                      W  0084000AA 1                  S  18f         1998</t>
        </is>
      </c>
      <c r="F796" t="inlineStr">
        <is>
          <t>The foundations of integrated care : facing the challenges of change / Marjorie A. Satinsky.</t>
        </is>
      </c>
      <c r="H796" t="inlineStr">
        <is>
          <t>No</t>
        </is>
      </c>
      <c r="I796" t="inlineStr">
        <is>
          <t>1</t>
        </is>
      </c>
      <c r="J796" t="inlineStr">
        <is>
          <t>No</t>
        </is>
      </c>
      <c r="K796" t="inlineStr">
        <is>
          <t>No</t>
        </is>
      </c>
      <c r="L796" t="inlineStr">
        <is>
          <t>0</t>
        </is>
      </c>
      <c r="M796" t="inlineStr">
        <is>
          <t>Satinsky, Marjorie A.</t>
        </is>
      </c>
      <c r="N796" t="inlineStr">
        <is>
          <t>Chicago : American Hospital Pub., c1998.</t>
        </is>
      </c>
      <c r="O796" t="inlineStr">
        <is>
          <t>1998</t>
        </is>
      </c>
      <c r="Q796" t="inlineStr">
        <is>
          <t>eng</t>
        </is>
      </c>
      <c r="R796" t="inlineStr">
        <is>
          <t>ilu</t>
        </is>
      </c>
      <c r="T796" t="inlineStr">
        <is>
          <t xml:space="preserve">W  </t>
        </is>
      </c>
      <c r="U796" t="n">
        <v>2</v>
      </c>
      <c r="V796" t="n">
        <v>2</v>
      </c>
      <c r="W796" t="inlineStr">
        <is>
          <t>1998-05-04</t>
        </is>
      </c>
      <c r="X796" t="inlineStr">
        <is>
          <t>1998-05-04</t>
        </is>
      </c>
      <c r="Y796" t="inlineStr">
        <is>
          <t>1998-05-01</t>
        </is>
      </c>
      <c r="Z796" t="inlineStr">
        <is>
          <t>1998-05-01</t>
        </is>
      </c>
      <c r="AA796" t="n">
        <v>127</v>
      </c>
      <c r="AB796" t="n">
        <v>114</v>
      </c>
      <c r="AC796" t="n">
        <v>115</v>
      </c>
      <c r="AD796" t="n">
        <v>1</v>
      </c>
      <c r="AE796" t="n">
        <v>1</v>
      </c>
      <c r="AF796" t="n">
        <v>6</v>
      </c>
      <c r="AG796" t="n">
        <v>6</v>
      </c>
      <c r="AH796" t="n">
        <v>2</v>
      </c>
      <c r="AI796" t="n">
        <v>2</v>
      </c>
      <c r="AJ796" t="n">
        <v>2</v>
      </c>
      <c r="AK796" t="n">
        <v>2</v>
      </c>
      <c r="AL796" t="n">
        <v>3</v>
      </c>
      <c r="AM796" t="n">
        <v>3</v>
      </c>
      <c r="AN796" t="n">
        <v>0</v>
      </c>
      <c r="AO796" t="n">
        <v>0</v>
      </c>
      <c r="AP796" t="n">
        <v>0</v>
      </c>
      <c r="AQ796" t="n">
        <v>0</v>
      </c>
      <c r="AR796" t="inlineStr">
        <is>
          <t>No</t>
        </is>
      </c>
      <c r="AS796" t="inlineStr">
        <is>
          <t>Yes</t>
        </is>
      </c>
      <c r="AT796">
        <f>HYPERLINK("http://catalog.hathitrust.org/Record/003973128","HathiTrust Record")</f>
        <v/>
      </c>
      <c r="AU796">
        <f>HYPERLINK("https://creighton-primo.hosted.exlibrisgroup.com/primo-explore/search?tab=default_tab&amp;search_scope=EVERYTHING&amp;vid=01CRU&amp;lang=en_US&amp;offset=0&amp;query=any,contains,991000901059702656","Catalog Record")</f>
        <v/>
      </c>
      <c r="AV796">
        <f>HYPERLINK("http://www.worldcat.org/oclc/37031316","WorldCat Record")</f>
        <v/>
      </c>
      <c r="AW796" t="inlineStr">
        <is>
          <t>364721118:eng</t>
        </is>
      </c>
      <c r="AX796" t="inlineStr">
        <is>
          <t>37031316</t>
        </is>
      </c>
      <c r="AY796" t="inlineStr">
        <is>
          <t>991000901059702656</t>
        </is>
      </c>
      <c r="AZ796" t="inlineStr">
        <is>
          <t>991000901059702656</t>
        </is>
      </c>
      <c r="BA796" t="inlineStr">
        <is>
          <t>2254883080002656</t>
        </is>
      </c>
      <c r="BB796" t="inlineStr">
        <is>
          <t>BOOK</t>
        </is>
      </c>
      <c r="BD796" t="inlineStr">
        <is>
          <t>9781556482076</t>
        </is>
      </c>
      <c r="BE796" t="inlineStr">
        <is>
          <t>30001004176246</t>
        </is>
      </c>
      <c r="BF796" t="inlineStr">
        <is>
          <t>893642947</t>
        </is>
      </c>
    </row>
    <row r="797">
      <c r="A797" t="inlineStr">
        <is>
          <t>No</t>
        </is>
      </c>
      <c r="B797" t="inlineStr">
        <is>
          <t>CUHSL</t>
        </is>
      </c>
      <c r="C797" t="inlineStr">
        <is>
          <t>SHELVES</t>
        </is>
      </c>
      <c r="D797" t="inlineStr">
        <is>
          <t>W84 AA1 S96h 2001</t>
        </is>
      </c>
      <c r="E797" t="inlineStr">
        <is>
          <t>0                      W  0084000AA 1                  S  96h         2001</t>
        </is>
      </c>
      <c r="F797" t="inlineStr">
        <is>
          <t>Health care USA : understanding its organization and delivery / Harry A. Sultz, Kristina M. Young.</t>
        </is>
      </c>
      <c r="H797" t="inlineStr">
        <is>
          <t>No</t>
        </is>
      </c>
      <c r="I797" t="inlineStr">
        <is>
          <t>1</t>
        </is>
      </c>
      <c r="J797" t="inlineStr">
        <is>
          <t>No</t>
        </is>
      </c>
      <c r="K797" t="inlineStr">
        <is>
          <t>Yes</t>
        </is>
      </c>
      <c r="L797" t="inlineStr">
        <is>
          <t>0</t>
        </is>
      </c>
      <c r="M797" t="inlineStr">
        <is>
          <t>Sultz, Harry A.</t>
        </is>
      </c>
      <c r="N797" t="inlineStr">
        <is>
          <t>Gaithersburg, MD : Aspen Publishers, 2001.</t>
        </is>
      </c>
      <c r="O797" t="inlineStr">
        <is>
          <t>2001</t>
        </is>
      </c>
      <c r="P797" t="inlineStr">
        <is>
          <t>3rd ed.</t>
        </is>
      </c>
      <c r="Q797" t="inlineStr">
        <is>
          <t>eng</t>
        </is>
      </c>
      <c r="R797" t="inlineStr">
        <is>
          <t>mdu</t>
        </is>
      </c>
      <c r="T797" t="inlineStr">
        <is>
          <t xml:space="preserve">W  </t>
        </is>
      </c>
      <c r="U797" t="n">
        <v>12</v>
      </c>
      <c r="V797" t="n">
        <v>12</v>
      </c>
      <c r="W797" t="inlineStr">
        <is>
          <t>2008-01-07</t>
        </is>
      </c>
      <c r="X797" t="inlineStr">
        <is>
          <t>2008-01-07</t>
        </is>
      </c>
      <c r="Y797" t="inlineStr">
        <is>
          <t>2001-12-06</t>
        </is>
      </c>
      <c r="Z797" t="inlineStr">
        <is>
          <t>2001-12-06</t>
        </is>
      </c>
      <c r="AA797" t="n">
        <v>266</v>
      </c>
      <c r="AB797" t="n">
        <v>246</v>
      </c>
      <c r="AC797" t="n">
        <v>1058</v>
      </c>
      <c r="AD797" t="n">
        <v>2</v>
      </c>
      <c r="AE797" t="n">
        <v>7</v>
      </c>
      <c r="AF797" t="n">
        <v>10</v>
      </c>
      <c r="AG797" t="n">
        <v>40</v>
      </c>
      <c r="AH797" t="n">
        <v>5</v>
      </c>
      <c r="AI797" t="n">
        <v>14</v>
      </c>
      <c r="AJ797" t="n">
        <v>1</v>
      </c>
      <c r="AK797" t="n">
        <v>8</v>
      </c>
      <c r="AL797" t="n">
        <v>5</v>
      </c>
      <c r="AM797" t="n">
        <v>16</v>
      </c>
      <c r="AN797" t="n">
        <v>1</v>
      </c>
      <c r="AO797" t="n">
        <v>6</v>
      </c>
      <c r="AP797" t="n">
        <v>1</v>
      </c>
      <c r="AQ797" t="n">
        <v>4</v>
      </c>
      <c r="AR797" t="inlineStr">
        <is>
          <t>No</t>
        </is>
      </c>
      <c r="AS797" t="inlineStr">
        <is>
          <t>Yes</t>
        </is>
      </c>
      <c r="AT797">
        <f>HYPERLINK("http://catalog.hathitrust.org/Record/003542677","HathiTrust Record")</f>
        <v/>
      </c>
      <c r="AU797">
        <f>HYPERLINK("https://creighton-primo.hosted.exlibrisgroup.com/primo-explore/search?tab=default_tab&amp;search_scope=EVERYTHING&amp;vid=01CRU&amp;lang=en_US&amp;offset=0&amp;query=any,contains,991000294849702656","Catalog Record")</f>
        <v/>
      </c>
      <c r="AV797">
        <f>HYPERLINK("http://www.worldcat.org/oclc/45556157","WorldCat Record")</f>
        <v/>
      </c>
      <c r="AW797" t="inlineStr">
        <is>
          <t>758354:eng</t>
        </is>
      </c>
      <c r="AX797" t="inlineStr">
        <is>
          <t>45556157</t>
        </is>
      </c>
      <c r="AY797" t="inlineStr">
        <is>
          <t>991000294849702656</t>
        </is>
      </c>
      <c r="AZ797" t="inlineStr">
        <is>
          <t>991000294849702656</t>
        </is>
      </c>
      <c r="BA797" t="inlineStr">
        <is>
          <t>2259380060002656</t>
        </is>
      </c>
      <c r="BB797" t="inlineStr">
        <is>
          <t>BOOK</t>
        </is>
      </c>
      <c r="BD797" t="inlineStr">
        <is>
          <t>9780834219120</t>
        </is>
      </c>
      <c r="BE797" t="inlineStr">
        <is>
          <t>30001004560563</t>
        </is>
      </c>
      <c r="BF797" t="inlineStr">
        <is>
          <t>893108263</t>
        </is>
      </c>
    </row>
    <row r="798">
      <c r="A798" t="inlineStr">
        <is>
          <t>No</t>
        </is>
      </c>
      <c r="B798" t="inlineStr">
        <is>
          <t>CUHSL</t>
        </is>
      </c>
      <c r="C798" t="inlineStr">
        <is>
          <t>SHELVES</t>
        </is>
      </c>
      <c r="D798" t="inlineStr">
        <is>
          <t>W 84 AA1 S96h 2004</t>
        </is>
      </c>
      <c r="E798" t="inlineStr">
        <is>
          <t>0                      W  0084000AA 1                  S  96h         2004</t>
        </is>
      </c>
      <c r="F798" t="inlineStr">
        <is>
          <t>Health care USA : understanding its organization and delivery / Harry A. Sultz, Kristina M. Young.</t>
        </is>
      </c>
      <c r="H798" t="inlineStr">
        <is>
          <t>No</t>
        </is>
      </c>
      <c r="I798" t="inlineStr">
        <is>
          <t>1</t>
        </is>
      </c>
      <c r="J798" t="inlineStr">
        <is>
          <t>No</t>
        </is>
      </c>
      <c r="K798" t="inlineStr">
        <is>
          <t>Yes</t>
        </is>
      </c>
      <c r="L798" t="inlineStr">
        <is>
          <t>0</t>
        </is>
      </c>
      <c r="M798" t="inlineStr">
        <is>
          <t>Sultz, Harry A.</t>
        </is>
      </c>
      <c r="N798" t="inlineStr">
        <is>
          <t>Sudbury, Mass. : Jones and Bartlett, c2004.</t>
        </is>
      </c>
      <c r="O798" t="inlineStr">
        <is>
          <t>2004</t>
        </is>
      </c>
      <c r="P798" t="inlineStr">
        <is>
          <t>4th ed.</t>
        </is>
      </c>
      <c r="Q798" t="inlineStr">
        <is>
          <t>eng</t>
        </is>
      </c>
      <c r="R798" t="inlineStr">
        <is>
          <t>mau</t>
        </is>
      </c>
      <c r="T798" t="inlineStr">
        <is>
          <t xml:space="preserve">W  </t>
        </is>
      </c>
      <c r="U798" t="n">
        <v>5</v>
      </c>
      <c r="V798" t="n">
        <v>5</v>
      </c>
      <c r="W798" t="inlineStr">
        <is>
          <t>2006-01-18</t>
        </is>
      </c>
      <c r="X798" t="inlineStr">
        <is>
          <t>2006-01-18</t>
        </is>
      </c>
      <c r="Y798" t="inlineStr">
        <is>
          <t>2004-09-16</t>
        </is>
      </c>
      <c r="Z798" t="inlineStr">
        <is>
          <t>2004-09-16</t>
        </is>
      </c>
      <c r="AA798" t="n">
        <v>220</v>
      </c>
      <c r="AB798" t="n">
        <v>209</v>
      </c>
      <c r="AC798" t="n">
        <v>1058</v>
      </c>
      <c r="AD798" t="n">
        <v>1</v>
      </c>
      <c r="AE798" t="n">
        <v>7</v>
      </c>
      <c r="AF798" t="n">
        <v>7</v>
      </c>
      <c r="AG798" t="n">
        <v>40</v>
      </c>
      <c r="AH798" t="n">
        <v>2</v>
      </c>
      <c r="AI798" t="n">
        <v>14</v>
      </c>
      <c r="AJ798" t="n">
        <v>2</v>
      </c>
      <c r="AK798" t="n">
        <v>8</v>
      </c>
      <c r="AL798" t="n">
        <v>5</v>
      </c>
      <c r="AM798" t="n">
        <v>16</v>
      </c>
      <c r="AN798" t="n">
        <v>0</v>
      </c>
      <c r="AO798" t="n">
        <v>6</v>
      </c>
      <c r="AP798" t="n">
        <v>0</v>
      </c>
      <c r="AQ798" t="n">
        <v>4</v>
      </c>
      <c r="AR798" t="inlineStr">
        <is>
          <t>No</t>
        </is>
      </c>
      <c r="AS798" t="inlineStr">
        <is>
          <t>No</t>
        </is>
      </c>
      <c r="AU798">
        <f>HYPERLINK("https://creighton-primo.hosted.exlibrisgroup.com/primo-explore/search?tab=default_tab&amp;search_scope=EVERYTHING&amp;vid=01CRU&amp;lang=en_US&amp;offset=0&amp;query=any,contains,991000392469702656","Catalog Record")</f>
        <v/>
      </c>
      <c r="AV798">
        <f>HYPERLINK("http://www.worldcat.org/oclc/52041377","WorldCat Record")</f>
        <v/>
      </c>
      <c r="AW798" t="inlineStr">
        <is>
          <t>758354:eng</t>
        </is>
      </c>
      <c r="AX798" t="inlineStr">
        <is>
          <t>52041377</t>
        </is>
      </c>
      <c r="AY798" t="inlineStr">
        <is>
          <t>991000392469702656</t>
        </is>
      </c>
      <c r="AZ798" t="inlineStr">
        <is>
          <t>991000392469702656</t>
        </is>
      </c>
      <c r="BA798" t="inlineStr">
        <is>
          <t>2258984560002656</t>
        </is>
      </c>
      <c r="BB798" t="inlineStr">
        <is>
          <t>BOOK</t>
        </is>
      </c>
      <c r="BD798" t="inlineStr">
        <is>
          <t>9780763725716</t>
        </is>
      </c>
      <c r="BE798" t="inlineStr">
        <is>
          <t>30001004840908</t>
        </is>
      </c>
      <c r="BF798" t="inlineStr">
        <is>
          <t>893461452</t>
        </is>
      </c>
    </row>
    <row r="799">
      <c r="A799" t="inlineStr">
        <is>
          <t>No</t>
        </is>
      </c>
      <c r="B799" t="inlineStr">
        <is>
          <t>CUHSL</t>
        </is>
      </c>
      <c r="C799" t="inlineStr">
        <is>
          <t>SHELVES</t>
        </is>
      </c>
      <c r="D799" t="inlineStr">
        <is>
          <t>W 84 AA1 T2 1976</t>
        </is>
      </c>
      <c r="E799" t="inlineStr">
        <is>
          <t>0                      W  0084000AA 1                  T  2           1976</t>
        </is>
      </c>
      <c r="F799" t="inlineStr">
        <is>
          <t>Technology and the quality of health care / Richard H. Egdahl and Paul M. Gertman, editors.</t>
        </is>
      </c>
      <c r="H799" t="inlineStr">
        <is>
          <t>No</t>
        </is>
      </c>
      <c r="I799" t="inlineStr">
        <is>
          <t>1</t>
        </is>
      </c>
      <c r="J799" t="inlineStr">
        <is>
          <t>No</t>
        </is>
      </c>
      <c r="K799" t="inlineStr">
        <is>
          <t>No</t>
        </is>
      </c>
      <c r="L799" t="inlineStr">
        <is>
          <t>0</t>
        </is>
      </c>
      <c r="N799" t="inlineStr">
        <is>
          <t>Germantown, Md. : Aspen Systems Corp., c1978.</t>
        </is>
      </c>
      <c r="O799" t="inlineStr">
        <is>
          <t>1978</t>
        </is>
      </c>
      <c r="Q799" t="inlineStr">
        <is>
          <t>eng</t>
        </is>
      </c>
      <c r="R799" t="inlineStr">
        <is>
          <t>mdu</t>
        </is>
      </c>
      <c r="T799" t="inlineStr">
        <is>
          <t xml:space="preserve">W  </t>
        </is>
      </c>
      <c r="U799" t="n">
        <v>1</v>
      </c>
      <c r="V799" t="n">
        <v>1</v>
      </c>
      <c r="W799" t="inlineStr">
        <is>
          <t>2004-04-20</t>
        </is>
      </c>
      <c r="X799" t="inlineStr">
        <is>
          <t>2004-04-20</t>
        </is>
      </c>
      <c r="Y799" t="inlineStr">
        <is>
          <t>1987-12-23</t>
        </is>
      </c>
      <c r="Z799" t="inlineStr">
        <is>
          <t>1987-12-23</t>
        </is>
      </c>
      <c r="AA799" t="n">
        <v>190</v>
      </c>
      <c r="AB799" t="n">
        <v>170</v>
      </c>
      <c r="AC799" t="n">
        <v>170</v>
      </c>
      <c r="AD799" t="n">
        <v>2</v>
      </c>
      <c r="AE799" t="n">
        <v>2</v>
      </c>
      <c r="AF799" t="n">
        <v>7</v>
      </c>
      <c r="AG799" t="n">
        <v>7</v>
      </c>
      <c r="AH799" t="n">
        <v>3</v>
      </c>
      <c r="AI799" t="n">
        <v>3</v>
      </c>
      <c r="AJ799" t="n">
        <v>3</v>
      </c>
      <c r="AK799" t="n">
        <v>3</v>
      </c>
      <c r="AL799" t="n">
        <v>4</v>
      </c>
      <c r="AM799" t="n">
        <v>4</v>
      </c>
      <c r="AN799" t="n">
        <v>1</v>
      </c>
      <c r="AO799" t="n">
        <v>1</v>
      </c>
      <c r="AP799" t="n">
        <v>0</v>
      </c>
      <c r="AQ799" t="n">
        <v>0</v>
      </c>
      <c r="AR799" t="inlineStr">
        <is>
          <t>No</t>
        </is>
      </c>
      <c r="AS799" t="inlineStr">
        <is>
          <t>Yes</t>
        </is>
      </c>
      <c r="AT799">
        <f>HYPERLINK("http://catalog.hathitrust.org/Record/000135147","HathiTrust Record")</f>
        <v/>
      </c>
      <c r="AU799">
        <f>HYPERLINK("https://creighton-primo.hosted.exlibrisgroup.com/primo-explore/search?tab=default_tab&amp;search_scope=EVERYTHING&amp;vid=01CRU&amp;lang=en_US&amp;offset=0&amp;query=any,contains,991000657299702656","Catalog Record")</f>
        <v/>
      </c>
      <c r="AV799">
        <f>HYPERLINK("http://www.worldcat.org/oclc/3843068","WorldCat Record")</f>
        <v/>
      </c>
      <c r="AW799" t="inlineStr">
        <is>
          <t>13285483:eng</t>
        </is>
      </c>
      <c r="AX799" t="inlineStr">
        <is>
          <t>3843068</t>
        </is>
      </c>
      <c r="AY799" t="inlineStr">
        <is>
          <t>991000657299702656</t>
        </is>
      </c>
      <c r="AZ799" t="inlineStr">
        <is>
          <t>991000657299702656</t>
        </is>
      </c>
      <c r="BA799" t="inlineStr">
        <is>
          <t>2266352270002656</t>
        </is>
      </c>
      <c r="BB799" t="inlineStr">
        <is>
          <t>BOOK</t>
        </is>
      </c>
      <c r="BD799" t="inlineStr">
        <is>
          <t>9780894430251</t>
        </is>
      </c>
      <c r="BE799" t="inlineStr">
        <is>
          <t>30001000688053</t>
        </is>
      </c>
      <c r="BF799" t="inlineStr">
        <is>
          <t>893357269</t>
        </is>
      </c>
    </row>
    <row r="800">
      <c r="A800" t="inlineStr">
        <is>
          <t>No</t>
        </is>
      </c>
      <c r="B800" t="inlineStr">
        <is>
          <t>CUHSL</t>
        </is>
      </c>
      <c r="C800" t="inlineStr">
        <is>
          <t>SHELVES</t>
        </is>
      </c>
      <c r="D800" t="inlineStr">
        <is>
          <t>W 84 AA1 T322h 1999</t>
        </is>
      </c>
      <c r="E800" t="inlineStr">
        <is>
          <t>0                      W  0084000AA 1                  T  322h        1999</t>
        </is>
      </c>
      <c r="F800" t="inlineStr">
        <is>
          <t>Health services planning : skills for effective strategy, management, and implementation / Richard K. Thomas.</t>
        </is>
      </c>
      <c r="H800" t="inlineStr">
        <is>
          <t>No</t>
        </is>
      </c>
      <c r="I800" t="inlineStr">
        <is>
          <t>1</t>
        </is>
      </c>
      <c r="J800" t="inlineStr">
        <is>
          <t>No</t>
        </is>
      </c>
      <c r="K800" t="inlineStr">
        <is>
          <t>No</t>
        </is>
      </c>
      <c r="L800" t="inlineStr">
        <is>
          <t>0</t>
        </is>
      </c>
      <c r="M800" t="inlineStr">
        <is>
          <t>Thomas, Richard K., 1944-</t>
        </is>
      </c>
      <c r="N800" t="inlineStr">
        <is>
          <t>New York : McGraw-Hill, c1999.</t>
        </is>
      </c>
      <c r="O800" t="inlineStr">
        <is>
          <t>1999</t>
        </is>
      </c>
      <c r="Q800" t="inlineStr">
        <is>
          <t>eng</t>
        </is>
      </c>
      <c r="R800" t="inlineStr">
        <is>
          <t>nyu</t>
        </is>
      </c>
      <c r="T800" t="inlineStr">
        <is>
          <t xml:space="preserve">W  </t>
        </is>
      </c>
      <c r="U800" t="n">
        <v>0</v>
      </c>
      <c r="V800" t="n">
        <v>0</v>
      </c>
      <c r="W800" t="inlineStr">
        <is>
          <t>2004-09-24</t>
        </is>
      </c>
      <c r="X800" t="inlineStr">
        <is>
          <t>2004-09-24</t>
        </is>
      </c>
      <c r="Y800" t="inlineStr">
        <is>
          <t>2004-09-24</t>
        </is>
      </c>
      <c r="Z800" t="inlineStr">
        <is>
          <t>2004-09-24</t>
        </is>
      </c>
      <c r="AA800" t="n">
        <v>70</v>
      </c>
      <c r="AB800" t="n">
        <v>62</v>
      </c>
      <c r="AC800" t="n">
        <v>626</v>
      </c>
      <c r="AD800" t="n">
        <v>1</v>
      </c>
      <c r="AE800" t="n">
        <v>27</v>
      </c>
      <c r="AF800" t="n">
        <v>6</v>
      </c>
      <c r="AG800" t="n">
        <v>31</v>
      </c>
      <c r="AH800" t="n">
        <v>0</v>
      </c>
      <c r="AI800" t="n">
        <v>5</v>
      </c>
      <c r="AJ800" t="n">
        <v>3</v>
      </c>
      <c r="AK800" t="n">
        <v>7</v>
      </c>
      <c r="AL800" t="n">
        <v>4</v>
      </c>
      <c r="AM800" t="n">
        <v>10</v>
      </c>
      <c r="AN800" t="n">
        <v>0</v>
      </c>
      <c r="AO800" t="n">
        <v>12</v>
      </c>
      <c r="AP800" t="n">
        <v>0</v>
      </c>
      <c r="AQ800" t="n">
        <v>0</v>
      </c>
      <c r="AR800" t="inlineStr">
        <is>
          <t>No</t>
        </is>
      </c>
      <c r="AS800" t="inlineStr">
        <is>
          <t>No</t>
        </is>
      </c>
      <c r="AU800">
        <f>HYPERLINK("https://creighton-primo.hosted.exlibrisgroup.com/primo-explore/search?tab=default_tab&amp;search_scope=EVERYTHING&amp;vid=01CRU&amp;lang=en_US&amp;offset=0&amp;query=any,contains,991000396789702656","Catalog Record")</f>
        <v/>
      </c>
      <c r="AV800">
        <f>HYPERLINK("http://www.worldcat.org/oclc/40173918","WorldCat Record")</f>
        <v/>
      </c>
      <c r="AW800" t="inlineStr">
        <is>
          <t>672850:eng</t>
        </is>
      </c>
      <c r="AX800" t="inlineStr">
        <is>
          <t>40173918</t>
        </is>
      </c>
      <c r="AY800" t="inlineStr">
        <is>
          <t>991000396789702656</t>
        </is>
      </c>
      <c r="AZ800" t="inlineStr">
        <is>
          <t>991000396789702656</t>
        </is>
      </c>
      <c r="BA800" t="inlineStr">
        <is>
          <t>2260356890002656</t>
        </is>
      </c>
      <c r="BB800" t="inlineStr">
        <is>
          <t>BOOK</t>
        </is>
      </c>
      <c r="BD800" t="inlineStr">
        <is>
          <t>9780070647596</t>
        </is>
      </c>
      <c r="BE800" t="inlineStr">
        <is>
          <t>30001004978997</t>
        </is>
      </c>
      <c r="BF800" t="inlineStr">
        <is>
          <t>893279976</t>
        </is>
      </c>
    </row>
    <row r="801">
      <c r="A801" t="inlineStr">
        <is>
          <t>No</t>
        </is>
      </c>
      <c r="B801" t="inlineStr">
        <is>
          <t>CUHSL</t>
        </is>
      </c>
      <c r="C801" t="inlineStr">
        <is>
          <t>SHELVES</t>
        </is>
      </c>
      <c r="D801" t="inlineStr">
        <is>
          <t>W 84 AA1 T5 1998</t>
        </is>
      </c>
      <c r="E801" t="inlineStr">
        <is>
          <t>0                      W  0084000AA 1                  T  5           1998</t>
        </is>
      </c>
      <c r="F801" t="inlineStr">
        <is>
          <t>To improve health and health care, 1998-1999 : the Robert Wood Johnson Foundation anthology / Stephen L. Isaacs and James R. Knickman, editors ; foreword by Stephen A. Schroeder.</t>
        </is>
      </c>
      <c r="H801" t="inlineStr">
        <is>
          <t>No</t>
        </is>
      </c>
      <c r="I801" t="inlineStr">
        <is>
          <t>1</t>
        </is>
      </c>
      <c r="J801" t="inlineStr">
        <is>
          <t>No</t>
        </is>
      </c>
      <c r="K801" t="inlineStr">
        <is>
          <t>No</t>
        </is>
      </c>
      <c r="L801" t="inlineStr">
        <is>
          <t>0</t>
        </is>
      </c>
      <c r="N801" t="inlineStr">
        <is>
          <t>San Francisco : Jossey-Bass, c1998.</t>
        </is>
      </c>
      <c r="O801" t="inlineStr">
        <is>
          <t>1998</t>
        </is>
      </c>
      <c r="P801" t="inlineStr">
        <is>
          <t>1st ed.</t>
        </is>
      </c>
      <c r="Q801" t="inlineStr">
        <is>
          <t>eng</t>
        </is>
      </c>
      <c r="R801" t="inlineStr">
        <is>
          <t>cau</t>
        </is>
      </c>
      <c r="T801" t="inlineStr">
        <is>
          <t xml:space="preserve">W  </t>
        </is>
      </c>
      <c r="U801" t="n">
        <v>3</v>
      </c>
      <c r="V801" t="n">
        <v>3</v>
      </c>
      <c r="W801" t="inlineStr">
        <is>
          <t>1999-06-08</t>
        </is>
      </c>
      <c r="X801" t="inlineStr">
        <is>
          <t>1999-06-08</t>
        </is>
      </c>
      <c r="Y801" t="inlineStr">
        <is>
          <t>1999-04-30</t>
        </is>
      </c>
      <c r="Z801" t="inlineStr">
        <is>
          <t>1999-04-30</t>
        </is>
      </c>
      <c r="AA801" t="n">
        <v>146</v>
      </c>
      <c r="AB801" t="n">
        <v>135</v>
      </c>
      <c r="AC801" t="n">
        <v>141</v>
      </c>
      <c r="AD801" t="n">
        <v>1</v>
      </c>
      <c r="AE801" t="n">
        <v>1</v>
      </c>
      <c r="AF801" t="n">
        <v>4</v>
      </c>
      <c r="AG801" t="n">
        <v>4</v>
      </c>
      <c r="AH801" t="n">
        <v>0</v>
      </c>
      <c r="AI801" t="n">
        <v>0</v>
      </c>
      <c r="AJ801" t="n">
        <v>2</v>
      </c>
      <c r="AK801" t="n">
        <v>2</v>
      </c>
      <c r="AL801" t="n">
        <v>3</v>
      </c>
      <c r="AM801" t="n">
        <v>3</v>
      </c>
      <c r="AN801" t="n">
        <v>0</v>
      </c>
      <c r="AO801" t="n">
        <v>0</v>
      </c>
      <c r="AP801" t="n">
        <v>0</v>
      </c>
      <c r="AQ801" t="n">
        <v>0</v>
      </c>
      <c r="AR801" t="inlineStr">
        <is>
          <t>No</t>
        </is>
      </c>
      <c r="AS801" t="inlineStr">
        <is>
          <t>No</t>
        </is>
      </c>
      <c r="AU801">
        <f>HYPERLINK("https://creighton-primo.hosted.exlibrisgroup.com/primo-explore/search?tab=default_tab&amp;search_scope=EVERYTHING&amp;vid=01CRU&amp;lang=en_US&amp;offset=0&amp;query=any,contains,991001557549702656","Catalog Record")</f>
        <v/>
      </c>
      <c r="AV801">
        <f>HYPERLINK("http://www.worldcat.org/oclc/39633999","WorldCat Record")</f>
        <v/>
      </c>
      <c r="AW801" t="inlineStr">
        <is>
          <t>42296668:eng</t>
        </is>
      </c>
      <c r="AX801" t="inlineStr">
        <is>
          <t>39633999</t>
        </is>
      </c>
      <c r="AY801" t="inlineStr">
        <is>
          <t>991001557549702656</t>
        </is>
      </c>
      <c r="AZ801" t="inlineStr">
        <is>
          <t>991001557549702656</t>
        </is>
      </c>
      <c r="BA801" t="inlineStr">
        <is>
          <t>2268511700002656</t>
        </is>
      </c>
      <c r="BB801" t="inlineStr">
        <is>
          <t>BOOK</t>
        </is>
      </c>
      <c r="BD801" t="inlineStr">
        <is>
          <t>9780787943912</t>
        </is>
      </c>
      <c r="BE801" t="inlineStr">
        <is>
          <t>30001004072148</t>
        </is>
      </c>
      <c r="BF801" t="inlineStr">
        <is>
          <t>893274293</t>
        </is>
      </c>
    </row>
    <row r="802">
      <c r="A802" t="inlineStr">
        <is>
          <t>No</t>
        </is>
      </c>
      <c r="B802" t="inlineStr">
        <is>
          <t>CUHSL</t>
        </is>
      </c>
      <c r="C802" t="inlineStr">
        <is>
          <t>SHELVES</t>
        </is>
      </c>
      <c r="D802" t="inlineStr">
        <is>
          <t>W 84 AA1 T5 2003</t>
        </is>
      </c>
      <c r="E802" t="inlineStr">
        <is>
          <t>0                      W  0084000AA 1                  T  5           2003</t>
        </is>
      </c>
      <c r="F802" t="inlineStr">
        <is>
          <t>To improve health and health care. Volume VI : the Robert Wood Johnson Foundation anthology / Stephen L. Isaacs and James R. Knickman, editors ; foreword by Steven A. Schroeder.</t>
        </is>
      </c>
      <c r="H802" t="inlineStr">
        <is>
          <t>No</t>
        </is>
      </c>
      <c r="I802" t="inlineStr">
        <is>
          <t>1</t>
        </is>
      </c>
      <c r="J802" t="inlineStr">
        <is>
          <t>No</t>
        </is>
      </c>
      <c r="K802" t="inlineStr">
        <is>
          <t>Yes</t>
        </is>
      </c>
      <c r="L802" t="inlineStr">
        <is>
          <t>0</t>
        </is>
      </c>
      <c r="N802" t="inlineStr">
        <is>
          <t>San Francisco : Jossey-Bass, c2003.</t>
        </is>
      </c>
      <c r="O802" t="inlineStr">
        <is>
          <t>2003</t>
        </is>
      </c>
      <c r="P802" t="inlineStr">
        <is>
          <t>1st ed.</t>
        </is>
      </c>
      <c r="Q802" t="inlineStr">
        <is>
          <t>eng</t>
        </is>
      </c>
      <c r="R802" t="inlineStr">
        <is>
          <t>cau</t>
        </is>
      </c>
      <c r="T802" t="inlineStr">
        <is>
          <t xml:space="preserve">W  </t>
        </is>
      </c>
      <c r="U802" t="n">
        <v>2</v>
      </c>
      <c r="V802" t="n">
        <v>2</v>
      </c>
      <c r="W802" t="inlineStr">
        <is>
          <t>2004-07-17</t>
        </is>
      </c>
      <c r="X802" t="inlineStr">
        <is>
          <t>2004-07-17</t>
        </is>
      </c>
      <c r="Y802" t="inlineStr">
        <is>
          <t>2003-10-17</t>
        </is>
      </c>
      <c r="Z802" t="inlineStr">
        <is>
          <t>2003-10-17</t>
        </is>
      </c>
      <c r="AA802" t="n">
        <v>149</v>
      </c>
      <c r="AB802" t="n">
        <v>140</v>
      </c>
      <c r="AC802" t="n">
        <v>854</v>
      </c>
      <c r="AD802" t="n">
        <v>2</v>
      </c>
      <c r="AE802" t="n">
        <v>8</v>
      </c>
      <c r="AF802" t="n">
        <v>3</v>
      </c>
      <c r="AG802" t="n">
        <v>35</v>
      </c>
      <c r="AH802" t="n">
        <v>2</v>
      </c>
      <c r="AI802" t="n">
        <v>12</v>
      </c>
      <c r="AJ802" t="n">
        <v>0</v>
      </c>
      <c r="AK802" t="n">
        <v>8</v>
      </c>
      <c r="AL802" t="n">
        <v>1</v>
      </c>
      <c r="AM802" t="n">
        <v>12</v>
      </c>
      <c r="AN802" t="n">
        <v>0</v>
      </c>
      <c r="AO802" t="n">
        <v>6</v>
      </c>
      <c r="AP802" t="n">
        <v>0</v>
      </c>
      <c r="AQ802" t="n">
        <v>2</v>
      </c>
      <c r="AR802" t="inlineStr">
        <is>
          <t>No</t>
        </is>
      </c>
      <c r="AS802" t="inlineStr">
        <is>
          <t>No</t>
        </is>
      </c>
      <c r="AU802">
        <f>HYPERLINK("https://creighton-primo.hosted.exlibrisgroup.com/primo-explore/search?tab=default_tab&amp;search_scope=EVERYTHING&amp;vid=01CRU&amp;lang=en_US&amp;offset=0&amp;query=any,contains,991000359019702656","Catalog Record")</f>
        <v/>
      </c>
      <c r="AV802">
        <f>HYPERLINK("http://www.worldcat.org/oclc/50669983","WorldCat Record")</f>
        <v/>
      </c>
      <c r="AW802" t="inlineStr">
        <is>
          <t>2863931384:eng</t>
        </is>
      </c>
      <c r="AX802" t="inlineStr">
        <is>
          <t>50669983</t>
        </is>
      </c>
      <c r="AY802" t="inlineStr">
        <is>
          <t>991000359019702656</t>
        </is>
      </c>
      <c r="AZ802" t="inlineStr">
        <is>
          <t>991000359019702656</t>
        </is>
      </c>
      <c r="BA802" t="inlineStr">
        <is>
          <t>2269594790002656</t>
        </is>
      </c>
      <c r="BB802" t="inlineStr">
        <is>
          <t>BOOK</t>
        </is>
      </c>
      <c r="BD802" t="inlineStr">
        <is>
          <t>9780787952761</t>
        </is>
      </c>
      <c r="BE802" t="inlineStr">
        <is>
          <t>30001004218170</t>
        </is>
      </c>
      <c r="BF802" t="inlineStr">
        <is>
          <t>893644314</t>
        </is>
      </c>
    </row>
    <row r="803">
      <c r="A803" t="inlineStr">
        <is>
          <t>No</t>
        </is>
      </c>
      <c r="B803" t="inlineStr">
        <is>
          <t>CUHSL</t>
        </is>
      </c>
      <c r="C803" t="inlineStr">
        <is>
          <t>SHELVES</t>
        </is>
      </c>
      <c r="D803" t="inlineStr">
        <is>
          <t>W 84 AA1 T5 2006 V.10</t>
        </is>
      </c>
      <c r="E803" t="inlineStr">
        <is>
          <t>0                      W  0084000AA 1                  T  5           2006                  V.10</t>
        </is>
      </c>
      <c r="F803" t="inlineStr">
        <is>
          <t>To improve health and health care : the Robert Wood Johnson Foundation anthology. Vol. 10 / edited by Stephen Isaacs.</t>
        </is>
      </c>
      <c r="G803" t="inlineStr">
        <is>
          <t>V.10</t>
        </is>
      </c>
      <c r="H803" t="inlineStr">
        <is>
          <t>No</t>
        </is>
      </c>
      <c r="I803" t="inlineStr">
        <is>
          <t>1</t>
        </is>
      </c>
      <c r="J803" t="inlineStr">
        <is>
          <t>No</t>
        </is>
      </c>
      <c r="K803" t="inlineStr">
        <is>
          <t>Yes</t>
        </is>
      </c>
      <c r="L803" t="inlineStr">
        <is>
          <t>0</t>
        </is>
      </c>
      <c r="N803" t="inlineStr">
        <is>
          <t>San Francisco, Calif. : Jossey-Bass ; Chichester : John Wiley [distributor], 2006.</t>
        </is>
      </c>
      <c r="O803" t="inlineStr">
        <is>
          <t>2006</t>
        </is>
      </c>
      <c r="Q803" t="inlineStr">
        <is>
          <t>eng</t>
        </is>
      </c>
      <c r="R803" t="inlineStr">
        <is>
          <t>cau</t>
        </is>
      </c>
      <c r="T803" t="inlineStr">
        <is>
          <t xml:space="preserve">W  </t>
        </is>
      </c>
      <c r="U803" t="n">
        <v>2</v>
      </c>
      <c r="V803" t="n">
        <v>2</v>
      </c>
      <c r="W803" t="inlineStr">
        <is>
          <t>2008-02-02</t>
        </is>
      </c>
      <c r="X803" t="inlineStr">
        <is>
          <t>2008-02-02</t>
        </is>
      </c>
      <c r="Y803" t="inlineStr">
        <is>
          <t>2007-01-17</t>
        </is>
      </c>
      <c r="Z803" t="inlineStr">
        <is>
          <t>2007-01-17</t>
        </is>
      </c>
      <c r="AA803" t="n">
        <v>78</v>
      </c>
      <c r="AB803" t="n">
        <v>73</v>
      </c>
      <c r="AC803" t="n">
        <v>854</v>
      </c>
      <c r="AD803" t="n">
        <v>1</v>
      </c>
      <c r="AE803" t="n">
        <v>8</v>
      </c>
      <c r="AF803" t="n">
        <v>1</v>
      </c>
      <c r="AG803" t="n">
        <v>35</v>
      </c>
      <c r="AH803" t="n">
        <v>1</v>
      </c>
      <c r="AI803" t="n">
        <v>12</v>
      </c>
      <c r="AJ803" t="n">
        <v>0</v>
      </c>
      <c r="AK803" t="n">
        <v>8</v>
      </c>
      <c r="AL803" t="n">
        <v>0</v>
      </c>
      <c r="AM803" t="n">
        <v>12</v>
      </c>
      <c r="AN803" t="n">
        <v>0</v>
      </c>
      <c r="AO803" t="n">
        <v>6</v>
      </c>
      <c r="AP803" t="n">
        <v>0</v>
      </c>
      <c r="AQ803" t="n">
        <v>2</v>
      </c>
      <c r="AR803" t="inlineStr">
        <is>
          <t>No</t>
        </is>
      </c>
      <c r="AS803" t="inlineStr">
        <is>
          <t>No</t>
        </is>
      </c>
      <c r="AU803">
        <f>HYPERLINK("https://creighton-primo.hosted.exlibrisgroup.com/primo-explore/search?tab=default_tab&amp;search_scope=EVERYTHING&amp;vid=01CRU&amp;lang=en_US&amp;offset=0&amp;query=any,contains,991000581739702656","Catalog Record")</f>
        <v/>
      </c>
      <c r="AV803">
        <f>HYPERLINK("http://www.worldcat.org/oclc/70882018","WorldCat Record")</f>
        <v/>
      </c>
      <c r="AW803" t="inlineStr">
        <is>
          <t>2863931384:eng</t>
        </is>
      </c>
      <c r="AX803" t="inlineStr">
        <is>
          <t>70882018</t>
        </is>
      </c>
      <c r="AY803" t="inlineStr">
        <is>
          <t>991000581739702656</t>
        </is>
      </c>
      <c r="AZ803" t="inlineStr">
        <is>
          <t>991000581739702656</t>
        </is>
      </c>
      <c r="BA803" t="inlineStr">
        <is>
          <t>2257526660002656</t>
        </is>
      </c>
      <c r="BB803" t="inlineStr">
        <is>
          <t>BOOK</t>
        </is>
      </c>
      <c r="BD803" t="inlineStr">
        <is>
          <t>9780787988951</t>
        </is>
      </c>
      <c r="BE803" t="inlineStr">
        <is>
          <t>30001005209277</t>
        </is>
      </c>
      <c r="BF803" t="inlineStr">
        <is>
          <t>893277216</t>
        </is>
      </c>
    </row>
    <row r="804">
      <c r="A804" t="inlineStr">
        <is>
          <t>No</t>
        </is>
      </c>
      <c r="B804" t="inlineStr">
        <is>
          <t>CUHSL</t>
        </is>
      </c>
      <c r="C804" t="inlineStr">
        <is>
          <t>SHELVES</t>
        </is>
      </c>
      <c r="D804" t="inlineStr">
        <is>
          <t>W 84 AA1 T7 1998</t>
        </is>
      </c>
      <c r="E804" t="inlineStr">
        <is>
          <t>0                      W  0084000AA 1                  T  7           1998</t>
        </is>
      </c>
      <c r="F804" t="inlineStr">
        <is>
          <t>Transforming health care : action strategies for health care leaders / Daniel J. Anderson ... [et al.].</t>
        </is>
      </c>
      <c r="H804" t="inlineStr">
        <is>
          <t>No</t>
        </is>
      </c>
      <c r="I804" t="inlineStr">
        <is>
          <t>1</t>
        </is>
      </c>
      <c r="J804" t="inlineStr">
        <is>
          <t>No</t>
        </is>
      </c>
      <c r="K804" t="inlineStr">
        <is>
          <t>No</t>
        </is>
      </c>
      <c r="L804" t="inlineStr">
        <is>
          <t>0</t>
        </is>
      </c>
      <c r="N804" t="inlineStr">
        <is>
          <t>Chicago : AHA Press, c1998.</t>
        </is>
      </c>
      <c r="O804" t="inlineStr">
        <is>
          <t>1998</t>
        </is>
      </c>
      <c r="Q804" t="inlineStr">
        <is>
          <t>eng</t>
        </is>
      </c>
      <c r="R804" t="inlineStr">
        <is>
          <t>ilu</t>
        </is>
      </c>
      <c r="T804" t="inlineStr">
        <is>
          <t xml:space="preserve">W  </t>
        </is>
      </c>
      <c r="U804" t="n">
        <v>6</v>
      </c>
      <c r="V804" t="n">
        <v>6</v>
      </c>
      <c r="W804" t="inlineStr">
        <is>
          <t>1998-12-21</t>
        </is>
      </c>
      <c r="X804" t="inlineStr">
        <is>
          <t>1998-12-21</t>
        </is>
      </c>
      <c r="Y804" t="inlineStr">
        <is>
          <t>1998-10-29</t>
        </is>
      </c>
      <c r="Z804" t="inlineStr">
        <is>
          <t>1998-10-29</t>
        </is>
      </c>
      <c r="AA804" t="n">
        <v>111</v>
      </c>
      <c r="AB804" t="n">
        <v>102</v>
      </c>
      <c r="AC804" t="n">
        <v>107</v>
      </c>
      <c r="AD804" t="n">
        <v>2</v>
      </c>
      <c r="AE804" t="n">
        <v>2</v>
      </c>
      <c r="AF804" t="n">
        <v>4</v>
      </c>
      <c r="AG804" t="n">
        <v>4</v>
      </c>
      <c r="AH804" t="n">
        <v>2</v>
      </c>
      <c r="AI804" t="n">
        <v>2</v>
      </c>
      <c r="AJ804" t="n">
        <v>0</v>
      </c>
      <c r="AK804" t="n">
        <v>0</v>
      </c>
      <c r="AL804" t="n">
        <v>2</v>
      </c>
      <c r="AM804" t="n">
        <v>2</v>
      </c>
      <c r="AN804" t="n">
        <v>1</v>
      </c>
      <c r="AO804" t="n">
        <v>1</v>
      </c>
      <c r="AP804" t="n">
        <v>0</v>
      </c>
      <c r="AQ804" t="n">
        <v>0</v>
      </c>
      <c r="AR804" t="inlineStr">
        <is>
          <t>No</t>
        </is>
      </c>
      <c r="AS804" t="inlineStr">
        <is>
          <t>No</t>
        </is>
      </c>
      <c r="AU804">
        <f>HYPERLINK("https://creighton-primo.hosted.exlibrisgroup.com/primo-explore/search?tab=default_tab&amp;search_scope=EVERYTHING&amp;vid=01CRU&amp;lang=en_US&amp;offset=0&amp;query=any,contains,991001391499702656","Catalog Record")</f>
        <v/>
      </c>
      <c r="AV804">
        <f>HYPERLINK("http://www.worldcat.org/oclc/38439237","WorldCat Record")</f>
        <v/>
      </c>
      <c r="AW804" t="inlineStr">
        <is>
          <t>3858026077:eng</t>
        </is>
      </c>
      <c r="AX804" t="inlineStr">
        <is>
          <t>38439237</t>
        </is>
      </c>
      <c r="AY804" t="inlineStr">
        <is>
          <t>991001391499702656</t>
        </is>
      </c>
      <c r="AZ804" t="inlineStr">
        <is>
          <t>991001391499702656</t>
        </is>
      </c>
      <c r="BA804" t="inlineStr">
        <is>
          <t>2271345360002656</t>
        </is>
      </c>
      <c r="BB804" t="inlineStr">
        <is>
          <t>BOOK</t>
        </is>
      </c>
      <c r="BD804" t="inlineStr">
        <is>
          <t>9781556482328</t>
        </is>
      </c>
      <c r="BE804" t="inlineStr">
        <is>
          <t>30001003809359</t>
        </is>
      </c>
      <c r="BF804" t="inlineStr">
        <is>
          <t>893274067</t>
        </is>
      </c>
    </row>
    <row r="805">
      <c r="A805" t="inlineStr">
        <is>
          <t>No</t>
        </is>
      </c>
      <c r="B805" t="inlineStr">
        <is>
          <t>CUHSL</t>
        </is>
      </c>
      <c r="C805" t="inlineStr">
        <is>
          <t>SHELVES</t>
        </is>
      </c>
      <c r="D805" t="inlineStr">
        <is>
          <t>W 84 AA1 W262e 1975</t>
        </is>
      </c>
      <c r="E805" t="inlineStr">
        <is>
          <t>0                      W  0084000AA 1                  W  262e        1975</t>
        </is>
      </c>
      <c r="F805" t="inlineStr">
        <is>
          <t>The economics of health resources / Richard A. Ward.</t>
        </is>
      </c>
      <c r="H805" t="inlineStr">
        <is>
          <t>No</t>
        </is>
      </c>
      <c r="I805" t="inlineStr">
        <is>
          <t>1</t>
        </is>
      </c>
      <c r="J805" t="inlineStr">
        <is>
          <t>No</t>
        </is>
      </c>
      <c r="K805" t="inlineStr">
        <is>
          <t>No</t>
        </is>
      </c>
      <c r="L805" t="inlineStr">
        <is>
          <t>0</t>
        </is>
      </c>
      <c r="M805" t="inlineStr">
        <is>
          <t>Ward, Richard Alexander, 1929-</t>
        </is>
      </c>
      <c r="N805" t="inlineStr">
        <is>
          <t>Reading, Mass. : Addison-Wesley, c1975.</t>
        </is>
      </c>
      <c r="O805" t="inlineStr">
        <is>
          <t>1975</t>
        </is>
      </c>
      <c r="Q805" t="inlineStr">
        <is>
          <t>eng</t>
        </is>
      </c>
      <c r="R805" t="inlineStr">
        <is>
          <t>mau</t>
        </is>
      </c>
      <c r="T805" t="inlineStr">
        <is>
          <t xml:space="preserve">W  </t>
        </is>
      </c>
      <c r="U805" t="n">
        <v>3</v>
      </c>
      <c r="V805" t="n">
        <v>3</v>
      </c>
      <c r="W805" t="inlineStr">
        <is>
          <t>1999-03-26</t>
        </is>
      </c>
      <c r="X805" t="inlineStr">
        <is>
          <t>1999-03-26</t>
        </is>
      </c>
      <c r="Y805" t="inlineStr">
        <is>
          <t>1987-12-22</t>
        </is>
      </c>
      <c r="Z805" t="inlineStr">
        <is>
          <t>1987-12-22</t>
        </is>
      </c>
      <c r="AA805" t="n">
        <v>244</v>
      </c>
      <c r="AB805" t="n">
        <v>186</v>
      </c>
      <c r="AC805" t="n">
        <v>194</v>
      </c>
      <c r="AD805" t="n">
        <v>2</v>
      </c>
      <c r="AE805" t="n">
        <v>2</v>
      </c>
      <c r="AF805" t="n">
        <v>6</v>
      </c>
      <c r="AG805" t="n">
        <v>6</v>
      </c>
      <c r="AH805" t="n">
        <v>1</v>
      </c>
      <c r="AI805" t="n">
        <v>1</v>
      </c>
      <c r="AJ805" t="n">
        <v>2</v>
      </c>
      <c r="AK805" t="n">
        <v>2</v>
      </c>
      <c r="AL805" t="n">
        <v>4</v>
      </c>
      <c r="AM805" t="n">
        <v>4</v>
      </c>
      <c r="AN805" t="n">
        <v>1</v>
      </c>
      <c r="AO805" t="n">
        <v>1</v>
      </c>
      <c r="AP805" t="n">
        <v>0</v>
      </c>
      <c r="AQ805" t="n">
        <v>0</v>
      </c>
      <c r="AR805" t="inlineStr">
        <is>
          <t>No</t>
        </is>
      </c>
      <c r="AS805" t="inlineStr">
        <is>
          <t>Yes</t>
        </is>
      </c>
      <c r="AT805">
        <f>HYPERLINK("http://catalog.hathitrust.org/Record/000765765","HathiTrust Record")</f>
        <v/>
      </c>
      <c r="AU805">
        <f>HYPERLINK("https://creighton-primo.hosted.exlibrisgroup.com/primo-explore/search?tab=default_tab&amp;search_scope=EVERYTHING&amp;vid=01CRU&amp;lang=en_US&amp;offset=0&amp;query=any,contains,991000657689702656","Catalog Record")</f>
        <v/>
      </c>
      <c r="AV805">
        <f>HYPERLINK("http://www.worldcat.org/oclc/1454328","WorldCat Record")</f>
        <v/>
      </c>
      <c r="AW805" t="inlineStr">
        <is>
          <t>2301067:eng</t>
        </is>
      </c>
      <c r="AX805" t="inlineStr">
        <is>
          <t>1454328</t>
        </is>
      </c>
      <c r="AY805" t="inlineStr">
        <is>
          <t>991000657689702656</t>
        </is>
      </c>
      <c r="AZ805" t="inlineStr">
        <is>
          <t>991000657689702656</t>
        </is>
      </c>
      <c r="BA805" t="inlineStr">
        <is>
          <t>2259220080002656</t>
        </is>
      </c>
      <c r="BB805" t="inlineStr">
        <is>
          <t>BOOK</t>
        </is>
      </c>
      <c r="BD805" t="inlineStr">
        <is>
          <t>9780201085228</t>
        </is>
      </c>
      <c r="BE805" t="inlineStr">
        <is>
          <t>30001000688111</t>
        </is>
      </c>
      <c r="BF805" t="inlineStr">
        <is>
          <t>893739877</t>
        </is>
      </c>
    </row>
    <row r="806">
      <c r="A806" t="inlineStr">
        <is>
          <t>No</t>
        </is>
      </c>
      <c r="B806" t="inlineStr">
        <is>
          <t>CUHSL</t>
        </is>
      </c>
      <c r="C806" t="inlineStr">
        <is>
          <t>SHELVES</t>
        </is>
      </c>
      <c r="D806" t="inlineStr">
        <is>
          <t>W 84 AA1 W62m 1982</t>
        </is>
      </c>
      <c r="E806" t="inlineStr">
        <is>
          <t>0                      W  0084000AA 1                  W  62m         1982</t>
        </is>
      </c>
      <c r="F806" t="inlineStr">
        <is>
          <t>Medical care quality and the public trust : a corporate guide for hospital trustees, medical staff, and administrators / Kenneth J. Williams, Paul R. Donnelly.</t>
        </is>
      </c>
      <c r="H806" t="inlineStr">
        <is>
          <t>No</t>
        </is>
      </c>
      <c r="I806" t="inlineStr">
        <is>
          <t>1</t>
        </is>
      </c>
      <c r="J806" t="inlineStr">
        <is>
          <t>No</t>
        </is>
      </c>
      <c r="K806" t="inlineStr">
        <is>
          <t>No</t>
        </is>
      </c>
      <c r="L806" t="inlineStr">
        <is>
          <t>0</t>
        </is>
      </c>
      <c r="M806" t="inlineStr">
        <is>
          <t>Williams, Kenneth J.</t>
        </is>
      </c>
      <c r="N806" t="inlineStr">
        <is>
          <t>Chicago : Pluribus Press, c1982.</t>
        </is>
      </c>
      <c r="O806" t="inlineStr">
        <is>
          <t>1982</t>
        </is>
      </c>
      <c r="Q806" t="inlineStr">
        <is>
          <t>eng</t>
        </is>
      </c>
      <c r="R806" t="inlineStr">
        <is>
          <t>xxu</t>
        </is>
      </c>
      <c r="T806" t="inlineStr">
        <is>
          <t xml:space="preserve">W  </t>
        </is>
      </c>
      <c r="U806" t="n">
        <v>2</v>
      </c>
      <c r="V806" t="n">
        <v>2</v>
      </c>
      <c r="W806" t="inlineStr">
        <is>
          <t>1994-09-16</t>
        </is>
      </c>
      <c r="X806" t="inlineStr">
        <is>
          <t>1994-09-16</t>
        </is>
      </c>
      <c r="Y806" t="inlineStr">
        <is>
          <t>1987-12-22</t>
        </is>
      </c>
      <c r="Z806" t="inlineStr">
        <is>
          <t>1987-12-22</t>
        </is>
      </c>
      <c r="AA806" t="n">
        <v>120</v>
      </c>
      <c r="AB806" t="n">
        <v>111</v>
      </c>
      <c r="AC806" t="n">
        <v>117</v>
      </c>
      <c r="AD806" t="n">
        <v>1</v>
      </c>
      <c r="AE806" t="n">
        <v>1</v>
      </c>
      <c r="AF806" t="n">
        <v>3</v>
      </c>
      <c r="AG806" t="n">
        <v>3</v>
      </c>
      <c r="AH806" t="n">
        <v>0</v>
      </c>
      <c r="AI806" t="n">
        <v>0</v>
      </c>
      <c r="AJ806" t="n">
        <v>0</v>
      </c>
      <c r="AK806" t="n">
        <v>0</v>
      </c>
      <c r="AL806" t="n">
        <v>2</v>
      </c>
      <c r="AM806" t="n">
        <v>2</v>
      </c>
      <c r="AN806" t="n">
        <v>0</v>
      </c>
      <c r="AO806" t="n">
        <v>0</v>
      </c>
      <c r="AP806" t="n">
        <v>1</v>
      </c>
      <c r="AQ806" t="n">
        <v>1</v>
      </c>
      <c r="AR806" t="inlineStr">
        <is>
          <t>No</t>
        </is>
      </c>
      <c r="AS806" t="inlineStr">
        <is>
          <t>No</t>
        </is>
      </c>
      <c r="AU806">
        <f>HYPERLINK("https://creighton-primo.hosted.exlibrisgroup.com/primo-explore/search?tab=default_tab&amp;search_scope=EVERYTHING&amp;vid=01CRU&amp;lang=en_US&amp;offset=0&amp;query=any,contains,991000657639702656","Catalog Record")</f>
        <v/>
      </c>
      <c r="AV806">
        <f>HYPERLINK("http://www.worldcat.org/oclc/8496625","WorldCat Record")</f>
        <v/>
      </c>
      <c r="AW806" t="inlineStr">
        <is>
          <t>11549890:eng</t>
        </is>
      </c>
      <c r="AX806" t="inlineStr">
        <is>
          <t>8496625</t>
        </is>
      </c>
      <c r="AY806" t="inlineStr">
        <is>
          <t>991000657639702656</t>
        </is>
      </c>
      <c r="AZ806" t="inlineStr">
        <is>
          <t>991000657639702656</t>
        </is>
      </c>
      <c r="BA806" t="inlineStr">
        <is>
          <t>2263275440002656</t>
        </is>
      </c>
      <c r="BB806" t="inlineStr">
        <is>
          <t>BOOK</t>
        </is>
      </c>
      <c r="BD806" t="inlineStr">
        <is>
          <t>9780931028229</t>
        </is>
      </c>
      <c r="BE806" t="inlineStr">
        <is>
          <t>30001000688103</t>
        </is>
      </c>
      <c r="BF806" t="inlineStr">
        <is>
          <t>893637176</t>
        </is>
      </c>
    </row>
    <row r="807">
      <c r="A807" t="inlineStr">
        <is>
          <t>No</t>
        </is>
      </c>
      <c r="B807" t="inlineStr">
        <is>
          <t>CUHSL</t>
        </is>
      </c>
      <c r="C807" t="inlineStr">
        <is>
          <t>SHELVES</t>
        </is>
      </c>
      <c r="D807" t="inlineStr">
        <is>
          <t>W 84 AP4 M4i 1989</t>
        </is>
      </c>
      <c r="E807" t="inlineStr">
        <is>
          <t>0                      W  0084000AP 4                  M  4i          1989</t>
        </is>
      </c>
      <c r="F807" t="inlineStr">
        <is>
          <t>Integrating the city of medicine : Blacks in Philadelphia health care, 1910-1965 / David McBride.</t>
        </is>
      </c>
      <c r="H807" t="inlineStr">
        <is>
          <t>No</t>
        </is>
      </c>
      <c r="I807" t="inlineStr">
        <is>
          <t>1</t>
        </is>
      </c>
      <c r="J807" t="inlineStr">
        <is>
          <t>No</t>
        </is>
      </c>
      <c r="K807" t="inlineStr">
        <is>
          <t>No</t>
        </is>
      </c>
      <c r="L807" t="inlineStr">
        <is>
          <t>0</t>
        </is>
      </c>
      <c r="M807" t="inlineStr">
        <is>
          <t>McBride, David, 1949-</t>
        </is>
      </c>
      <c r="N807" t="inlineStr">
        <is>
          <t>Philadelphia : Temple University Press, c1989.</t>
        </is>
      </c>
      <c r="O807" t="inlineStr">
        <is>
          <t>1989</t>
        </is>
      </c>
      <c r="Q807" t="inlineStr">
        <is>
          <t>eng</t>
        </is>
      </c>
      <c r="R807" t="inlineStr">
        <is>
          <t>pau</t>
        </is>
      </c>
      <c r="T807" t="inlineStr">
        <is>
          <t xml:space="preserve">W  </t>
        </is>
      </c>
      <c r="U807" t="n">
        <v>8</v>
      </c>
      <c r="V807" t="n">
        <v>8</v>
      </c>
      <c r="W807" t="inlineStr">
        <is>
          <t>1992-04-02</t>
        </is>
      </c>
      <c r="X807" t="inlineStr">
        <is>
          <t>1992-04-02</t>
        </is>
      </c>
      <c r="Y807" t="inlineStr">
        <is>
          <t>1992-04-02</t>
        </is>
      </c>
      <c r="Z807" t="inlineStr">
        <is>
          <t>1992-04-02</t>
        </is>
      </c>
      <c r="AA807" t="n">
        <v>309</v>
      </c>
      <c r="AB807" t="n">
        <v>281</v>
      </c>
      <c r="AC807" t="n">
        <v>281</v>
      </c>
      <c r="AD807" t="n">
        <v>1</v>
      </c>
      <c r="AE807" t="n">
        <v>1</v>
      </c>
      <c r="AF807" t="n">
        <v>10</v>
      </c>
      <c r="AG807" t="n">
        <v>10</v>
      </c>
      <c r="AH807" t="n">
        <v>2</v>
      </c>
      <c r="AI807" t="n">
        <v>2</v>
      </c>
      <c r="AJ807" t="n">
        <v>5</v>
      </c>
      <c r="AK807" t="n">
        <v>5</v>
      </c>
      <c r="AL807" t="n">
        <v>5</v>
      </c>
      <c r="AM807" t="n">
        <v>5</v>
      </c>
      <c r="AN807" t="n">
        <v>0</v>
      </c>
      <c r="AO807" t="n">
        <v>0</v>
      </c>
      <c r="AP807" t="n">
        <v>1</v>
      </c>
      <c r="AQ807" t="n">
        <v>1</v>
      </c>
      <c r="AR807" t="inlineStr">
        <is>
          <t>No</t>
        </is>
      </c>
      <c r="AS807" t="inlineStr">
        <is>
          <t>No</t>
        </is>
      </c>
      <c r="AU807">
        <f>HYPERLINK("https://creighton-primo.hosted.exlibrisgroup.com/primo-explore/search?tab=default_tab&amp;search_scope=EVERYTHING&amp;vid=01CRU&amp;lang=en_US&amp;offset=0&amp;query=any,contains,991001299189702656","Catalog Record")</f>
        <v/>
      </c>
      <c r="AV807">
        <f>HYPERLINK("http://www.worldcat.org/oclc/17981048","WorldCat Record")</f>
        <v/>
      </c>
      <c r="AW807" t="inlineStr">
        <is>
          <t>16808968:eng</t>
        </is>
      </c>
      <c r="AX807" t="inlineStr">
        <is>
          <t>17981048</t>
        </is>
      </c>
      <c r="AY807" t="inlineStr">
        <is>
          <t>991001299189702656</t>
        </is>
      </c>
      <c r="AZ807" t="inlineStr">
        <is>
          <t>991001299189702656</t>
        </is>
      </c>
      <c r="BA807" t="inlineStr">
        <is>
          <t>2257484990002656</t>
        </is>
      </c>
      <c r="BB807" t="inlineStr">
        <is>
          <t>BOOK</t>
        </is>
      </c>
      <c r="BD807" t="inlineStr">
        <is>
          <t>9780877225461</t>
        </is>
      </c>
      <c r="BE807" t="inlineStr">
        <is>
          <t>30001002411215</t>
        </is>
      </c>
      <c r="BF807" t="inlineStr">
        <is>
          <t>893731869</t>
        </is>
      </c>
    </row>
    <row r="808">
      <c r="A808" t="inlineStr">
        <is>
          <t>No</t>
        </is>
      </c>
      <c r="B808" t="inlineStr">
        <is>
          <t>CUHSL</t>
        </is>
      </c>
      <c r="C808" t="inlineStr">
        <is>
          <t>SHELVES</t>
        </is>
      </c>
      <c r="D808" t="inlineStr">
        <is>
          <t>W 84 AT2 M876r 2001</t>
        </is>
      </c>
      <c r="E808" t="inlineStr">
        <is>
          <t>0                      W  0084000AT 2                  M  876r        2001</t>
        </is>
      </c>
      <c r="F808" t="inlineStr">
        <is>
          <t>Relief for the body, renewal for the soul : a doctor's true stories of healing and hope / G. Scott Morris.</t>
        </is>
      </c>
      <c r="H808" t="inlineStr">
        <is>
          <t>No</t>
        </is>
      </c>
      <c r="I808" t="inlineStr">
        <is>
          <t>1</t>
        </is>
      </c>
      <c r="J808" t="inlineStr">
        <is>
          <t>No</t>
        </is>
      </c>
      <c r="K808" t="inlineStr">
        <is>
          <t>No</t>
        </is>
      </c>
      <c r="L808" t="inlineStr">
        <is>
          <t>0</t>
        </is>
      </c>
      <c r="M808" t="inlineStr">
        <is>
          <t>Morris, G. Scott, 1954-</t>
        </is>
      </c>
      <c r="N808" t="inlineStr">
        <is>
          <t>Brewster, Mass. : Paraclete Press, c2001.</t>
        </is>
      </c>
      <c r="O808" t="inlineStr">
        <is>
          <t>2001</t>
        </is>
      </c>
      <c r="Q808" t="inlineStr">
        <is>
          <t>eng</t>
        </is>
      </c>
      <c r="R808" t="inlineStr">
        <is>
          <t>mau</t>
        </is>
      </c>
      <c r="T808" t="inlineStr">
        <is>
          <t xml:space="preserve">W  </t>
        </is>
      </c>
      <c r="U808" t="n">
        <v>0</v>
      </c>
      <c r="V808" t="n">
        <v>0</v>
      </c>
      <c r="W808" t="inlineStr">
        <is>
          <t>2008-11-06</t>
        </is>
      </c>
      <c r="X808" t="inlineStr">
        <is>
          <t>2008-11-06</t>
        </is>
      </c>
      <c r="Y808" t="inlineStr">
        <is>
          <t>2008-10-31</t>
        </is>
      </c>
      <c r="Z808" t="inlineStr">
        <is>
          <t>2008-10-31</t>
        </is>
      </c>
      <c r="AA808" t="n">
        <v>67</v>
      </c>
      <c r="AB808" t="n">
        <v>63</v>
      </c>
      <c r="AC808" t="n">
        <v>68</v>
      </c>
      <c r="AD808" t="n">
        <v>2</v>
      </c>
      <c r="AE808" t="n">
        <v>2</v>
      </c>
      <c r="AF808" t="n">
        <v>1</v>
      </c>
      <c r="AG808" t="n">
        <v>1</v>
      </c>
      <c r="AH808" t="n">
        <v>0</v>
      </c>
      <c r="AI808" t="n">
        <v>0</v>
      </c>
      <c r="AJ808" t="n">
        <v>1</v>
      </c>
      <c r="AK808" t="n">
        <v>1</v>
      </c>
      <c r="AL808" t="n">
        <v>0</v>
      </c>
      <c r="AM808" t="n">
        <v>0</v>
      </c>
      <c r="AN808" t="n">
        <v>0</v>
      </c>
      <c r="AO808" t="n">
        <v>0</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HYPERLINK("https://creighton-primo.hosted.exlibrisgroup.com/primo-explore/search?tab=default_tab&amp;search_scope=EVERYTHING&amp;vid=01CRU&amp;lang=en_US&amp;offset=0&amp;query=any,contains,991001328029702656","Catalog Record")</f>
        <v/>
      </c>
      <c r="AV808">
        <f>HYPERLINK("http://www.worldcat.org/oclc/45363112","WorldCat Record")</f>
        <v/>
      </c>
      <c r="AW808" t="inlineStr">
        <is>
          <t>5221180939:eng</t>
        </is>
      </c>
      <c r="AX808" t="inlineStr">
        <is>
          <t>45363112</t>
        </is>
      </c>
      <c r="AY808" t="inlineStr">
        <is>
          <t>991001328029702656</t>
        </is>
      </c>
      <c r="AZ808" t="inlineStr">
        <is>
          <t>991001328029702656</t>
        </is>
      </c>
      <c r="BA808" t="inlineStr">
        <is>
          <t>2256663600002656</t>
        </is>
      </c>
      <c r="BB808" t="inlineStr">
        <is>
          <t>BOOK</t>
        </is>
      </c>
      <c r="BD808" t="inlineStr">
        <is>
          <t>9781557252692</t>
        </is>
      </c>
      <c r="BE808" t="inlineStr">
        <is>
          <t>30001005126901</t>
        </is>
      </c>
      <c r="BF808" t="inlineStr">
        <is>
          <t>893731895</t>
        </is>
      </c>
    </row>
    <row r="809">
      <c r="A809" t="inlineStr">
        <is>
          <t>No</t>
        </is>
      </c>
      <c r="B809" t="inlineStr">
        <is>
          <t>CUHSL</t>
        </is>
      </c>
      <c r="C809" t="inlineStr">
        <is>
          <t>SHELVES</t>
        </is>
      </c>
      <c r="D809" t="inlineStr">
        <is>
          <t>W 84 C466b 1975</t>
        </is>
      </c>
      <c r="E809" t="inlineStr">
        <is>
          <t>0                      W  0084000C  466b        1975</t>
        </is>
      </c>
      <c r="F809" t="inlineStr">
        <is>
          <t>Behavior and health care : a humanistic helping process / Jane E. Chapman, Harry H. Chapman.</t>
        </is>
      </c>
      <c r="H809" t="inlineStr">
        <is>
          <t>No</t>
        </is>
      </c>
      <c r="I809" t="inlineStr">
        <is>
          <t>1</t>
        </is>
      </c>
      <c r="J809" t="inlineStr">
        <is>
          <t>No</t>
        </is>
      </c>
      <c r="K809" t="inlineStr">
        <is>
          <t>No</t>
        </is>
      </c>
      <c r="L809" t="inlineStr">
        <is>
          <t>0</t>
        </is>
      </c>
      <c r="M809" t="inlineStr">
        <is>
          <t>Chapman, Jane E., 1932-</t>
        </is>
      </c>
      <c r="N809" t="inlineStr">
        <is>
          <t>St. Louis : Mosby, c1975.</t>
        </is>
      </c>
      <c r="O809" t="inlineStr">
        <is>
          <t>1975</t>
        </is>
      </c>
      <c r="Q809" t="inlineStr">
        <is>
          <t>eng</t>
        </is>
      </c>
      <c r="R809" t="inlineStr">
        <is>
          <t>mou</t>
        </is>
      </c>
      <c r="T809" t="inlineStr">
        <is>
          <t xml:space="preserve">W  </t>
        </is>
      </c>
      <c r="U809" t="n">
        <v>4</v>
      </c>
      <c r="V809" t="n">
        <v>4</v>
      </c>
      <c r="W809" t="inlineStr">
        <is>
          <t>1997-03-15</t>
        </is>
      </c>
      <c r="X809" t="inlineStr">
        <is>
          <t>1997-03-15</t>
        </is>
      </c>
      <c r="Y809" t="inlineStr">
        <is>
          <t>1987-12-22</t>
        </is>
      </c>
      <c r="Z809" t="inlineStr">
        <is>
          <t>1987-12-22</t>
        </is>
      </c>
      <c r="AA809" t="n">
        <v>315</v>
      </c>
      <c r="AB809" t="n">
        <v>258</v>
      </c>
      <c r="AC809" t="n">
        <v>265</v>
      </c>
      <c r="AD809" t="n">
        <v>6</v>
      </c>
      <c r="AE809" t="n">
        <v>6</v>
      </c>
      <c r="AF809" t="n">
        <v>14</v>
      </c>
      <c r="AG809" t="n">
        <v>14</v>
      </c>
      <c r="AH809" t="n">
        <v>4</v>
      </c>
      <c r="AI809" t="n">
        <v>4</v>
      </c>
      <c r="AJ809" t="n">
        <v>3</v>
      </c>
      <c r="AK809" t="n">
        <v>3</v>
      </c>
      <c r="AL809" t="n">
        <v>6</v>
      </c>
      <c r="AM809" t="n">
        <v>6</v>
      </c>
      <c r="AN809" t="n">
        <v>5</v>
      </c>
      <c r="AO809" t="n">
        <v>5</v>
      </c>
      <c r="AP809" t="n">
        <v>0</v>
      </c>
      <c r="AQ809" t="n">
        <v>0</v>
      </c>
      <c r="AR809" t="inlineStr">
        <is>
          <t>No</t>
        </is>
      </c>
      <c r="AS809" t="inlineStr">
        <is>
          <t>Yes</t>
        </is>
      </c>
      <c r="AT809">
        <f>HYPERLINK("http://catalog.hathitrust.org/Record/000156346","HathiTrust Record")</f>
        <v/>
      </c>
      <c r="AU809">
        <f>HYPERLINK("https://creighton-primo.hosted.exlibrisgroup.com/primo-explore/search?tab=default_tab&amp;search_scope=EVERYTHING&amp;vid=01CRU&amp;lang=en_US&amp;offset=0&amp;query=any,contains,991000657769702656","Catalog Record")</f>
        <v/>
      </c>
      <c r="AV809">
        <f>HYPERLINK("http://www.worldcat.org/oclc/1365215","WorldCat Record")</f>
        <v/>
      </c>
      <c r="AW809" t="inlineStr">
        <is>
          <t>143666343:eng</t>
        </is>
      </c>
      <c r="AX809" t="inlineStr">
        <is>
          <t>1365215</t>
        </is>
      </c>
      <c r="AY809" t="inlineStr">
        <is>
          <t>991000657769702656</t>
        </is>
      </c>
      <c r="AZ809" t="inlineStr">
        <is>
          <t>991000657769702656</t>
        </is>
      </c>
      <c r="BA809" t="inlineStr">
        <is>
          <t>2256100000002656</t>
        </is>
      </c>
      <c r="BB809" t="inlineStr">
        <is>
          <t>BOOK</t>
        </is>
      </c>
      <c r="BD809" t="inlineStr">
        <is>
          <t>9780801609473</t>
        </is>
      </c>
      <c r="BE809" t="inlineStr">
        <is>
          <t>30001000688145</t>
        </is>
      </c>
      <c r="BF809" t="inlineStr">
        <is>
          <t>893368139</t>
        </is>
      </c>
    </row>
    <row r="810">
      <c r="A810" t="inlineStr">
        <is>
          <t>No</t>
        </is>
      </c>
      <c r="B810" t="inlineStr">
        <is>
          <t>CUHSL</t>
        </is>
      </c>
      <c r="C810" t="inlineStr">
        <is>
          <t>SHELVES</t>
        </is>
      </c>
      <c r="D810" t="inlineStr">
        <is>
          <t>W84 DA2 T7 2003</t>
        </is>
      </c>
      <c r="E810" t="inlineStr">
        <is>
          <t>0                      W  0084000DA 2                  T  7           2003</t>
        </is>
      </c>
      <c r="F810" t="inlineStr">
        <is>
          <t>Transcultural health care : a culturally competent approach / [edited by] Larry D. Purnell, Betty J. Paulanka.</t>
        </is>
      </c>
      <c r="H810" t="inlineStr">
        <is>
          <t>No</t>
        </is>
      </c>
      <c r="I810" t="inlineStr">
        <is>
          <t>1</t>
        </is>
      </c>
      <c r="J810" t="inlineStr">
        <is>
          <t>Yes</t>
        </is>
      </c>
      <c r="K810" t="inlineStr">
        <is>
          <t>Yes</t>
        </is>
      </c>
      <c r="L810" t="inlineStr">
        <is>
          <t>1</t>
        </is>
      </c>
      <c r="N810" t="inlineStr">
        <is>
          <t>Philadelphia, PA : F.A. Davis, c2003.</t>
        </is>
      </c>
      <c r="O810" t="inlineStr">
        <is>
          <t>2003</t>
        </is>
      </c>
      <c r="P810" t="inlineStr">
        <is>
          <t>2nd ed.</t>
        </is>
      </c>
      <c r="Q810" t="inlineStr">
        <is>
          <t>eng</t>
        </is>
      </c>
      <c r="R810" t="inlineStr">
        <is>
          <t>pau</t>
        </is>
      </c>
      <c r="T810" t="inlineStr">
        <is>
          <t xml:space="preserve">W  </t>
        </is>
      </c>
      <c r="U810" t="n">
        <v>2</v>
      </c>
      <c r="V810" t="n">
        <v>6</v>
      </c>
      <c r="W810" t="inlineStr">
        <is>
          <t>2004-04-13</t>
        </is>
      </c>
      <c r="X810" t="inlineStr">
        <is>
          <t>2005-03-10</t>
        </is>
      </c>
      <c r="Y810" t="inlineStr">
        <is>
          <t>2003-04-25</t>
        </is>
      </c>
      <c r="Z810" t="inlineStr">
        <is>
          <t>2004-06-04</t>
        </is>
      </c>
      <c r="AA810" t="n">
        <v>439</v>
      </c>
      <c r="AB810" t="n">
        <v>374</v>
      </c>
      <c r="AC810" t="n">
        <v>1508</v>
      </c>
      <c r="AD810" t="n">
        <v>4</v>
      </c>
      <c r="AE810" t="n">
        <v>27</v>
      </c>
      <c r="AF810" t="n">
        <v>20</v>
      </c>
      <c r="AG810" t="n">
        <v>50</v>
      </c>
      <c r="AH810" t="n">
        <v>8</v>
      </c>
      <c r="AI810" t="n">
        <v>18</v>
      </c>
      <c r="AJ810" t="n">
        <v>3</v>
      </c>
      <c r="AK810" t="n">
        <v>9</v>
      </c>
      <c r="AL810" t="n">
        <v>11</v>
      </c>
      <c r="AM810" t="n">
        <v>17</v>
      </c>
      <c r="AN810" t="n">
        <v>3</v>
      </c>
      <c r="AO810" t="n">
        <v>15</v>
      </c>
      <c r="AP810" t="n">
        <v>0</v>
      </c>
      <c r="AQ810" t="n">
        <v>0</v>
      </c>
      <c r="AR810" t="inlineStr">
        <is>
          <t>No</t>
        </is>
      </c>
      <c r="AS810" t="inlineStr">
        <is>
          <t>No</t>
        </is>
      </c>
      <c r="AU810">
        <f>HYPERLINK("https://creighton-primo.hosted.exlibrisgroup.com/primo-explore/search?tab=default_tab&amp;search_scope=EVERYTHING&amp;vid=01CRU&amp;lang=en_US&amp;offset=0&amp;query=any,contains,991001722189702656","Catalog Record")</f>
        <v/>
      </c>
      <c r="AV810">
        <f>HYPERLINK("http://www.worldcat.org/oclc/51454541","WorldCat Record")</f>
        <v/>
      </c>
      <c r="AW810" t="inlineStr">
        <is>
          <t>865560996:eng</t>
        </is>
      </c>
      <c r="AX810" t="inlineStr">
        <is>
          <t>51454541</t>
        </is>
      </c>
      <c r="AY810" t="inlineStr">
        <is>
          <t>991001722189702656</t>
        </is>
      </c>
      <c r="AZ810" t="inlineStr">
        <is>
          <t>991001722189702656</t>
        </is>
      </c>
      <c r="BA810" t="inlineStr">
        <is>
          <t>2255480470002656</t>
        </is>
      </c>
      <c r="BB810" t="inlineStr">
        <is>
          <t>BOOK</t>
        </is>
      </c>
      <c r="BD810" t="inlineStr">
        <is>
          <t>9780803610576</t>
        </is>
      </c>
      <c r="BE810" t="inlineStr">
        <is>
          <t>30001004504215</t>
        </is>
      </c>
      <c r="BF810" t="inlineStr">
        <is>
          <t>893732224</t>
        </is>
      </c>
    </row>
    <row r="811">
      <c r="A811" t="inlineStr">
        <is>
          <t>No</t>
        </is>
      </c>
      <c r="B811" t="inlineStr">
        <is>
          <t>CUHSL</t>
        </is>
      </c>
      <c r="C811" t="inlineStr">
        <is>
          <t>SHELVES</t>
        </is>
      </c>
      <c r="D811" t="inlineStr">
        <is>
          <t>W 84 DA2 T7 2008</t>
        </is>
      </c>
      <c r="E811" t="inlineStr">
        <is>
          <t>0                      W  0084000DA 2                  T  7           2008</t>
        </is>
      </c>
      <c r="F811" t="inlineStr">
        <is>
          <t>Transcultural health care : a culturally competent approach / [edited by] Larry D. Purnell, Betty J. Paulanka.</t>
        </is>
      </c>
      <c r="H811" t="inlineStr">
        <is>
          <t>No</t>
        </is>
      </c>
      <c r="I811" t="inlineStr">
        <is>
          <t>1</t>
        </is>
      </c>
      <c r="J811" t="inlineStr">
        <is>
          <t>No</t>
        </is>
      </c>
      <c r="K811" t="inlineStr">
        <is>
          <t>Yes</t>
        </is>
      </c>
      <c r="L811" t="inlineStr">
        <is>
          <t>1</t>
        </is>
      </c>
      <c r="N811" t="inlineStr">
        <is>
          <t>Philadelphia : F.A. Davis, c2008.</t>
        </is>
      </c>
      <c r="O811" t="inlineStr">
        <is>
          <t>2008</t>
        </is>
      </c>
      <c r="P811" t="inlineStr">
        <is>
          <t>3rd ed.</t>
        </is>
      </c>
      <c r="Q811" t="inlineStr">
        <is>
          <t>eng</t>
        </is>
      </c>
      <c r="R811" t="inlineStr">
        <is>
          <t>pau</t>
        </is>
      </c>
      <c r="T811" t="inlineStr">
        <is>
          <t xml:space="preserve">W  </t>
        </is>
      </c>
      <c r="U811" t="n">
        <v>3</v>
      </c>
      <c r="V811" t="n">
        <v>3</v>
      </c>
      <c r="W811" t="inlineStr">
        <is>
          <t>2010-05-27</t>
        </is>
      </c>
      <c r="X811" t="inlineStr">
        <is>
          <t>2010-05-27</t>
        </is>
      </c>
      <c r="Y811" t="inlineStr">
        <is>
          <t>2008-09-26</t>
        </is>
      </c>
      <c r="Z811" t="inlineStr">
        <is>
          <t>2008-09-26</t>
        </is>
      </c>
      <c r="AA811" t="n">
        <v>438</v>
      </c>
      <c r="AB811" t="n">
        <v>382</v>
      </c>
      <c r="AC811" t="n">
        <v>1508</v>
      </c>
      <c r="AD811" t="n">
        <v>1</v>
      </c>
      <c r="AE811" t="n">
        <v>27</v>
      </c>
      <c r="AF811" t="n">
        <v>10</v>
      </c>
      <c r="AG811" t="n">
        <v>50</v>
      </c>
      <c r="AH811" t="n">
        <v>1</v>
      </c>
      <c r="AI811" t="n">
        <v>18</v>
      </c>
      <c r="AJ811" t="n">
        <v>4</v>
      </c>
      <c r="AK811" t="n">
        <v>9</v>
      </c>
      <c r="AL811" t="n">
        <v>6</v>
      </c>
      <c r="AM811" t="n">
        <v>17</v>
      </c>
      <c r="AN811" t="n">
        <v>0</v>
      </c>
      <c r="AO811" t="n">
        <v>15</v>
      </c>
      <c r="AP811" t="n">
        <v>0</v>
      </c>
      <c r="AQ811" t="n">
        <v>0</v>
      </c>
      <c r="AR811" t="inlineStr">
        <is>
          <t>No</t>
        </is>
      </c>
      <c r="AS811" t="inlineStr">
        <is>
          <t>Yes</t>
        </is>
      </c>
      <c r="AT811">
        <f>HYPERLINK("http://catalog.hathitrust.org/Record/010380733","HathiTrust Record")</f>
        <v/>
      </c>
      <c r="AU811">
        <f>HYPERLINK("https://creighton-primo.hosted.exlibrisgroup.com/primo-explore/search?tab=default_tab&amp;search_scope=EVERYTHING&amp;vid=01CRU&amp;lang=en_US&amp;offset=0&amp;query=any,contains,991001794709702656","Catalog Record")</f>
        <v/>
      </c>
      <c r="AV811">
        <f>HYPERLINK("http://www.worldcat.org/oclc/176925207","WorldCat Record")</f>
        <v/>
      </c>
      <c r="AW811" t="inlineStr">
        <is>
          <t>865560996:eng</t>
        </is>
      </c>
      <c r="AX811" t="inlineStr">
        <is>
          <t>176925207</t>
        </is>
      </c>
      <c r="AY811" t="inlineStr">
        <is>
          <t>991001794709702656</t>
        </is>
      </c>
      <c r="AZ811" t="inlineStr">
        <is>
          <t>991001794709702656</t>
        </is>
      </c>
      <c r="BA811" t="inlineStr">
        <is>
          <t>2261284200002656</t>
        </is>
      </c>
      <c r="BB811" t="inlineStr">
        <is>
          <t>BOOK</t>
        </is>
      </c>
      <c r="BD811" t="inlineStr">
        <is>
          <t>9780803618657</t>
        </is>
      </c>
      <c r="BE811" t="inlineStr">
        <is>
          <t>30001005371978</t>
        </is>
      </c>
      <c r="BF811" t="inlineStr">
        <is>
          <t>893451780</t>
        </is>
      </c>
    </row>
    <row r="812">
      <c r="A812" t="inlineStr">
        <is>
          <t>No</t>
        </is>
      </c>
      <c r="B812" t="inlineStr">
        <is>
          <t>CUHSL</t>
        </is>
      </c>
      <c r="C812" t="inlineStr">
        <is>
          <t>SHELVES</t>
        </is>
      </c>
      <c r="D812" t="inlineStr">
        <is>
          <t>W84 FA1 E84 2000</t>
        </is>
      </c>
      <c r="E812" t="inlineStr">
        <is>
          <t>0                      W  0084000FA 1                  E  84          2000</t>
        </is>
      </c>
      <c r="F812" t="inlineStr">
        <is>
          <t>Ethnicity, disability, and chronic illness / edited by Waqar I.U. Ahmad.</t>
        </is>
      </c>
      <c r="H812" t="inlineStr">
        <is>
          <t>No</t>
        </is>
      </c>
      <c r="I812" t="inlineStr">
        <is>
          <t>1</t>
        </is>
      </c>
      <c r="J812" t="inlineStr">
        <is>
          <t>No</t>
        </is>
      </c>
      <c r="K812" t="inlineStr">
        <is>
          <t>No</t>
        </is>
      </c>
      <c r="L812" t="inlineStr">
        <is>
          <t>0</t>
        </is>
      </c>
      <c r="N812" t="inlineStr">
        <is>
          <t>Buckingham [England] ; Philadelphia : Open University Press, 2000.</t>
        </is>
      </c>
      <c r="O812" t="inlineStr">
        <is>
          <t>2000</t>
        </is>
      </c>
      <c r="Q812" t="inlineStr">
        <is>
          <t>eng</t>
        </is>
      </c>
      <c r="R812" t="inlineStr">
        <is>
          <t>enk</t>
        </is>
      </c>
      <c r="S812" t="inlineStr">
        <is>
          <t>Race, health, and social care</t>
        </is>
      </c>
      <c r="T812" t="inlineStr">
        <is>
          <t xml:space="preserve">W  </t>
        </is>
      </c>
      <c r="U812" t="n">
        <v>1</v>
      </c>
      <c r="V812" t="n">
        <v>1</v>
      </c>
      <c r="W812" t="inlineStr">
        <is>
          <t>2003-02-11</t>
        </is>
      </c>
      <c r="X812" t="inlineStr">
        <is>
          <t>2003-02-11</t>
        </is>
      </c>
      <c r="Y812" t="inlineStr">
        <is>
          <t>2002-10-02</t>
        </is>
      </c>
      <c r="Z812" t="inlineStr">
        <is>
          <t>2002-10-02</t>
        </is>
      </c>
      <c r="AA812" t="n">
        <v>216</v>
      </c>
      <c r="AB812" t="n">
        <v>85</v>
      </c>
      <c r="AC812" t="n">
        <v>91</v>
      </c>
      <c r="AD812" t="n">
        <v>2</v>
      </c>
      <c r="AE812" t="n">
        <v>2</v>
      </c>
      <c r="AF812" t="n">
        <v>3</v>
      </c>
      <c r="AG812" t="n">
        <v>3</v>
      </c>
      <c r="AH812" t="n">
        <v>0</v>
      </c>
      <c r="AI812" t="n">
        <v>0</v>
      </c>
      <c r="AJ812" t="n">
        <v>1</v>
      </c>
      <c r="AK812" t="n">
        <v>1</v>
      </c>
      <c r="AL812" t="n">
        <v>2</v>
      </c>
      <c r="AM812" t="n">
        <v>2</v>
      </c>
      <c r="AN812" t="n">
        <v>1</v>
      </c>
      <c r="AO812" t="n">
        <v>1</v>
      </c>
      <c r="AP812" t="n">
        <v>0</v>
      </c>
      <c r="AQ812" t="n">
        <v>0</v>
      </c>
      <c r="AR812" t="inlineStr">
        <is>
          <t>No</t>
        </is>
      </c>
      <c r="AS812" t="inlineStr">
        <is>
          <t>Yes</t>
        </is>
      </c>
      <c r="AT812">
        <f>HYPERLINK("http://catalog.hathitrust.org/Record/004097489","HathiTrust Record")</f>
        <v/>
      </c>
      <c r="AU812">
        <f>HYPERLINK("https://creighton-primo.hosted.exlibrisgroup.com/primo-explore/search?tab=default_tab&amp;search_scope=EVERYTHING&amp;vid=01CRU&amp;lang=en_US&amp;offset=0&amp;query=any,contains,991000329909702656","Catalog Record")</f>
        <v/>
      </c>
      <c r="AV812">
        <f>HYPERLINK("http://www.worldcat.org/oclc/42009386","WorldCat Record")</f>
        <v/>
      </c>
      <c r="AW812" t="inlineStr">
        <is>
          <t>14433631:eng</t>
        </is>
      </c>
      <c r="AX812" t="inlineStr">
        <is>
          <t>42009386</t>
        </is>
      </c>
      <c r="AY812" t="inlineStr">
        <is>
          <t>991000329909702656</t>
        </is>
      </c>
      <c r="AZ812" t="inlineStr">
        <is>
          <t>991000329909702656</t>
        </is>
      </c>
      <c r="BA812" t="inlineStr">
        <is>
          <t>2259141250002656</t>
        </is>
      </c>
      <c r="BB812" t="inlineStr">
        <is>
          <t>BOOK</t>
        </is>
      </c>
      <c r="BD812" t="inlineStr">
        <is>
          <t>9780335199822</t>
        </is>
      </c>
      <c r="BE812" t="inlineStr">
        <is>
          <t>30001004441079</t>
        </is>
      </c>
      <c r="BF812" t="inlineStr">
        <is>
          <t>893644252</t>
        </is>
      </c>
    </row>
    <row r="813">
      <c r="A813" t="inlineStr">
        <is>
          <t>No</t>
        </is>
      </c>
      <c r="B813" t="inlineStr">
        <is>
          <t>CUHSL</t>
        </is>
      </c>
      <c r="C813" t="inlineStr">
        <is>
          <t>SHELVES</t>
        </is>
      </c>
      <c r="D813" t="inlineStr">
        <is>
          <t>W84 FA1 G481w 2003</t>
        </is>
      </c>
      <c r="E813" t="inlineStr">
        <is>
          <t>0                      W  0084000FA 1                  G  481w        2003</t>
        </is>
      </c>
      <c r="F813" t="inlineStr">
        <is>
          <t>What makes a good healthcare system? : comparisons, values, drivers / Alan Gillies.</t>
        </is>
      </c>
      <c r="H813" t="inlineStr">
        <is>
          <t>No</t>
        </is>
      </c>
      <c r="I813" t="inlineStr">
        <is>
          <t>1</t>
        </is>
      </c>
      <c r="J813" t="inlineStr">
        <is>
          <t>No</t>
        </is>
      </c>
      <c r="K813" t="inlineStr">
        <is>
          <t>No</t>
        </is>
      </c>
      <c r="L813" t="inlineStr">
        <is>
          <t>0</t>
        </is>
      </c>
      <c r="M813" t="inlineStr">
        <is>
          <t>Gillies, Alan.</t>
        </is>
      </c>
      <c r="N813" t="inlineStr">
        <is>
          <t>Abingdon, U.K. : Radcliffe Medical Press, c2003.</t>
        </is>
      </c>
      <c r="O813" t="inlineStr">
        <is>
          <t>2003</t>
        </is>
      </c>
      <c r="Q813" t="inlineStr">
        <is>
          <t>eng</t>
        </is>
      </c>
      <c r="R813" t="inlineStr">
        <is>
          <t>enk</t>
        </is>
      </c>
      <c r="T813" t="inlineStr">
        <is>
          <t xml:space="preserve">W  </t>
        </is>
      </c>
      <c r="U813" t="n">
        <v>7</v>
      </c>
      <c r="V813" t="n">
        <v>7</v>
      </c>
      <c r="W813" t="inlineStr">
        <is>
          <t>2008-02-02</t>
        </is>
      </c>
      <c r="X813" t="inlineStr">
        <is>
          <t>2008-02-02</t>
        </is>
      </c>
      <c r="Y813" t="inlineStr">
        <is>
          <t>2004-02-27</t>
        </is>
      </c>
      <c r="Z813" t="inlineStr">
        <is>
          <t>2004-02-27</t>
        </is>
      </c>
      <c r="AA813" t="n">
        <v>109</v>
      </c>
      <c r="AB813" t="n">
        <v>48</v>
      </c>
      <c r="AC813" t="n">
        <v>476</v>
      </c>
      <c r="AD813" t="n">
        <v>1</v>
      </c>
      <c r="AE813" t="n">
        <v>3</v>
      </c>
      <c r="AF813" t="n">
        <v>2</v>
      </c>
      <c r="AG813" t="n">
        <v>9</v>
      </c>
      <c r="AH813" t="n">
        <v>0</v>
      </c>
      <c r="AI813" t="n">
        <v>4</v>
      </c>
      <c r="AJ813" t="n">
        <v>1</v>
      </c>
      <c r="AK813" t="n">
        <v>2</v>
      </c>
      <c r="AL813" t="n">
        <v>1</v>
      </c>
      <c r="AM813" t="n">
        <v>3</v>
      </c>
      <c r="AN813" t="n">
        <v>0</v>
      </c>
      <c r="AO813" t="n">
        <v>2</v>
      </c>
      <c r="AP813" t="n">
        <v>0</v>
      </c>
      <c r="AQ813" t="n">
        <v>0</v>
      </c>
      <c r="AR813" t="inlineStr">
        <is>
          <t>No</t>
        </is>
      </c>
      <c r="AS813" t="inlineStr">
        <is>
          <t>No</t>
        </is>
      </c>
      <c r="AU813">
        <f>HYPERLINK("https://creighton-primo.hosted.exlibrisgroup.com/primo-explore/search?tab=default_tab&amp;search_scope=EVERYTHING&amp;vid=01CRU&amp;lang=en_US&amp;offset=0&amp;query=any,contains,991000367019702656","Catalog Record")</f>
        <v/>
      </c>
      <c r="AV813">
        <f>HYPERLINK("http://www.worldcat.org/oclc/52231713","WorldCat Record")</f>
        <v/>
      </c>
      <c r="AW813" t="inlineStr">
        <is>
          <t>800682845:eng</t>
        </is>
      </c>
      <c r="AX813" t="inlineStr">
        <is>
          <t>52231713</t>
        </is>
      </c>
      <c r="AY813" t="inlineStr">
        <is>
          <t>991000367019702656</t>
        </is>
      </c>
      <c r="AZ813" t="inlineStr">
        <is>
          <t>991000367019702656</t>
        </is>
      </c>
      <c r="BA813" t="inlineStr">
        <is>
          <t>2267971800002656</t>
        </is>
      </c>
      <c r="BB813" t="inlineStr">
        <is>
          <t>BOOK</t>
        </is>
      </c>
      <c r="BD813" t="inlineStr">
        <is>
          <t>9781857759211</t>
        </is>
      </c>
      <c r="BE813" t="inlineStr">
        <is>
          <t>30001004509602</t>
        </is>
      </c>
      <c r="BF813" t="inlineStr">
        <is>
          <t>893136762</t>
        </is>
      </c>
    </row>
    <row r="814">
      <c r="A814" t="inlineStr">
        <is>
          <t>No</t>
        </is>
      </c>
      <c r="B814" t="inlineStr">
        <is>
          <t>CUHSL</t>
        </is>
      </c>
      <c r="C814" t="inlineStr">
        <is>
          <t>SHELVES</t>
        </is>
      </c>
      <c r="D814" t="inlineStr">
        <is>
          <t>W84 FA1 S854 2001</t>
        </is>
      </c>
      <c r="E814" t="inlineStr">
        <is>
          <t>0                      W  0084000FA 1                  S  854         2001</t>
        </is>
      </c>
      <c r="F814" t="inlineStr">
        <is>
          <t>Stigma and social exclusion in healthcare / edited by Tom Mason ... [et al.].</t>
        </is>
      </c>
      <c r="H814" t="inlineStr">
        <is>
          <t>No</t>
        </is>
      </c>
      <c r="I814" t="inlineStr">
        <is>
          <t>1</t>
        </is>
      </c>
      <c r="J814" t="inlineStr">
        <is>
          <t>No</t>
        </is>
      </c>
      <c r="K814" t="inlineStr">
        <is>
          <t>No</t>
        </is>
      </c>
      <c r="L814" t="inlineStr">
        <is>
          <t>0</t>
        </is>
      </c>
      <c r="N814" t="inlineStr">
        <is>
          <t>London ; New York : Routledge, 2001.</t>
        </is>
      </c>
      <c r="O814" t="inlineStr">
        <is>
          <t>2001</t>
        </is>
      </c>
      <c r="Q814" t="inlineStr">
        <is>
          <t>eng</t>
        </is>
      </c>
      <c r="R814" t="inlineStr">
        <is>
          <t>enk</t>
        </is>
      </c>
      <c r="T814" t="inlineStr">
        <is>
          <t xml:space="preserve">W  </t>
        </is>
      </c>
      <c r="U814" t="n">
        <v>0</v>
      </c>
      <c r="V814" t="n">
        <v>0</v>
      </c>
      <c r="W814" t="inlineStr">
        <is>
          <t>2006-05-25</t>
        </is>
      </c>
      <c r="X814" t="inlineStr">
        <is>
          <t>2006-05-25</t>
        </is>
      </c>
      <c r="Y814" t="inlineStr">
        <is>
          <t>2006-04-20</t>
        </is>
      </c>
      <c r="Z814" t="inlineStr">
        <is>
          <t>2006-04-20</t>
        </is>
      </c>
      <c r="AA814" t="n">
        <v>246</v>
      </c>
      <c r="AB814" t="n">
        <v>113</v>
      </c>
      <c r="AC814" t="n">
        <v>186</v>
      </c>
      <c r="AD814" t="n">
        <v>1</v>
      </c>
      <c r="AE814" t="n">
        <v>1</v>
      </c>
      <c r="AF814" t="n">
        <v>2</v>
      </c>
      <c r="AG814" t="n">
        <v>3</v>
      </c>
      <c r="AH814" t="n">
        <v>1</v>
      </c>
      <c r="AI814" t="n">
        <v>2</v>
      </c>
      <c r="AJ814" t="n">
        <v>1</v>
      </c>
      <c r="AK814" t="n">
        <v>1</v>
      </c>
      <c r="AL814" t="n">
        <v>1</v>
      </c>
      <c r="AM814" t="n">
        <v>2</v>
      </c>
      <c r="AN814" t="n">
        <v>0</v>
      </c>
      <c r="AO814" t="n">
        <v>0</v>
      </c>
      <c r="AP814" t="n">
        <v>0</v>
      </c>
      <c r="AQ814" t="n">
        <v>0</v>
      </c>
      <c r="AR814" t="inlineStr">
        <is>
          <t>No</t>
        </is>
      </c>
      <c r="AS814" t="inlineStr">
        <is>
          <t>No</t>
        </is>
      </c>
      <c r="AU814">
        <f>HYPERLINK("https://creighton-primo.hosted.exlibrisgroup.com/primo-explore/search?tab=default_tab&amp;search_scope=EVERYTHING&amp;vid=01CRU&amp;lang=en_US&amp;offset=0&amp;query=any,contains,991000476219702656","Catalog Record")</f>
        <v/>
      </c>
      <c r="AV814">
        <f>HYPERLINK("http://www.worldcat.org/oclc/45951577","WorldCat Record")</f>
        <v/>
      </c>
      <c r="AW814" t="inlineStr">
        <is>
          <t>864032035:eng</t>
        </is>
      </c>
      <c r="AX814" t="inlineStr">
        <is>
          <t>45951577</t>
        </is>
      </c>
      <c r="AY814" t="inlineStr">
        <is>
          <t>991000476219702656</t>
        </is>
      </c>
      <c r="AZ814" t="inlineStr">
        <is>
          <t>991000476219702656</t>
        </is>
      </c>
      <c r="BA814" t="inlineStr">
        <is>
          <t>2255626530002656</t>
        </is>
      </c>
      <c r="BB814" t="inlineStr">
        <is>
          <t>BOOK</t>
        </is>
      </c>
      <c r="BD814" t="inlineStr">
        <is>
          <t>9780415221993</t>
        </is>
      </c>
      <c r="BE814" t="inlineStr">
        <is>
          <t>30001004914521</t>
        </is>
      </c>
      <c r="BF814" t="inlineStr">
        <is>
          <t>893466282</t>
        </is>
      </c>
    </row>
    <row r="815">
      <c r="A815" t="inlineStr">
        <is>
          <t>No</t>
        </is>
      </c>
      <c r="B815" t="inlineStr">
        <is>
          <t>CUHSL</t>
        </is>
      </c>
      <c r="C815" t="inlineStr">
        <is>
          <t>SHELVES</t>
        </is>
      </c>
      <c r="D815" t="inlineStr">
        <is>
          <t>W 84 GA1 E894 2003</t>
        </is>
      </c>
      <c r="E815" t="inlineStr">
        <is>
          <t>0                      W  0084000GA 1                  E  894         2003</t>
        </is>
      </c>
      <c r="F815" t="inlineStr">
        <is>
          <t>The European patient of the future / edited by Angela Coulter and Helen Magee.</t>
        </is>
      </c>
      <c r="H815" t="inlineStr">
        <is>
          <t>No</t>
        </is>
      </c>
      <c r="I815" t="inlineStr">
        <is>
          <t>1</t>
        </is>
      </c>
      <c r="J815" t="inlineStr">
        <is>
          <t>No</t>
        </is>
      </c>
      <c r="K815" t="inlineStr">
        <is>
          <t>No</t>
        </is>
      </c>
      <c r="L815" t="inlineStr">
        <is>
          <t>0</t>
        </is>
      </c>
      <c r="N815" t="inlineStr">
        <is>
          <t>Maidenhead ; Philadelphia : Open University Press, 2003.</t>
        </is>
      </c>
      <c r="O815" t="inlineStr">
        <is>
          <t>2003</t>
        </is>
      </c>
      <c r="Q815" t="inlineStr">
        <is>
          <t>eng</t>
        </is>
      </c>
      <c r="R815" t="inlineStr">
        <is>
          <t>enk</t>
        </is>
      </c>
      <c r="S815" t="inlineStr">
        <is>
          <t>State of health series</t>
        </is>
      </c>
      <c r="T815" t="inlineStr">
        <is>
          <t xml:space="preserve">W  </t>
        </is>
      </c>
      <c r="U815" t="n">
        <v>2</v>
      </c>
      <c r="V815" t="n">
        <v>2</v>
      </c>
      <c r="W815" t="inlineStr">
        <is>
          <t>2006-02-05</t>
        </is>
      </c>
      <c r="X815" t="inlineStr">
        <is>
          <t>2006-02-05</t>
        </is>
      </c>
      <c r="Y815" t="inlineStr">
        <is>
          <t>2004-09-10</t>
        </is>
      </c>
      <c r="Z815" t="inlineStr">
        <is>
          <t>2004-09-10</t>
        </is>
      </c>
      <c r="AA815" t="n">
        <v>92</v>
      </c>
      <c r="AB815" t="n">
        <v>41</v>
      </c>
      <c r="AC815" t="n">
        <v>41</v>
      </c>
      <c r="AD815" t="n">
        <v>1</v>
      </c>
      <c r="AE815" t="n">
        <v>1</v>
      </c>
      <c r="AF815" t="n">
        <v>1</v>
      </c>
      <c r="AG815" t="n">
        <v>1</v>
      </c>
      <c r="AH815" t="n">
        <v>0</v>
      </c>
      <c r="AI815" t="n">
        <v>0</v>
      </c>
      <c r="AJ815" t="n">
        <v>1</v>
      </c>
      <c r="AK815" t="n">
        <v>1</v>
      </c>
      <c r="AL815" t="n">
        <v>0</v>
      </c>
      <c r="AM815" t="n">
        <v>0</v>
      </c>
      <c r="AN815" t="n">
        <v>0</v>
      </c>
      <c r="AO815" t="n">
        <v>0</v>
      </c>
      <c r="AP815" t="n">
        <v>0</v>
      </c>
      <c r="AQ815" t="n">
        <v>0</v>
      </c>
      <c r="AR815" t="inlineStr">
        <is>
          <t>No</t>
        </is>
      </c>
      <c r="AS815" t="inlineStr">
        <is>
          <t>Yes</t>
        </is>
      </c>
      <c r="AT815">
        <f>HYPERLINK("http://catalog.hathitrust.org/Record/011237648","HathiTrust Record")</f>
        <v/>
      </c>
      <c r="AU815">
        <f>HYPERLINK("https://creighton-primo.hosted.exlibrisgroup.com/primo-explore/search?tab=default_tab&amp;search_scope=EVERYTHING&amp;vid=01CRU&amp;lang=en_US&amp;offset=0&amp;query=any,contains,991000386419702656","Catalog Record")</f>
        <v/>
      </c>
      <c r="AV815">
        <f>HYPERLINK("http://www.worldcat.org/oclc/52143287","WorldCat Record")</f>
        <v/>
      </c>
      <c r="AW815" t="inlineStr">
        <is>
          <t>5614625881:eng</t>
        </is>
      </c>
      <c r="AX815" t="inlineStr">
        <is>
          <t>52143287</t>
        </is>
      </c>
      <c r="AY815" t="inlineStr">
        <is>
          <t>991000386419702656</t>
        </is>
      </c>
      <c r="AZ815" t="inlineStr">
        <is>
          <t>991000386419702656</t>
        </is>
      </c>
      <c r="BA815" t="inlineStr">
        <is>
          <t>2257978430002656</t>
        </is>
      </c>
      <c r="BB815" t="inlineStr">
        <is>
          <t>BOOK</t>
        </is>
      </c>
      <c r="BD815" t="inlineStr">
        <is>
          <t>9780335211876</t>
        </is>
      </c>
      <c r="BE815" t="inlineStr">
        <is>
          <t>30001004840999</t>
        </is>
      </c>
      <c r="BF815" t="inlineStr">
        <is>
          <t>893109501</t>
        </is>
      </c>
    </row>
    <row r="816">
      <c r="A816" t="inlineStr">
        <is>
          <t>No</t>
        </is>
      </c>
      <c r="B816" t="inlineStr">
        <is>
          <t>CUHSL</t>
        </is>
      </c>
      <c r="C816" t="inlineStr">
        <is>
          <t>SHELVES</t>
        </is>
      </c>
      <c r="D816" t="inlineStr">
        <is>
          <t>W 84 GS8 G7 1988</t>
        </is>
      </c>
      <c r="E816" t="inlineStr">
        <is>
          <t>0                      W  0084000GS 8                  G  7           1988</t>
        </is>
      </c>
      <c r="F816" t="inlineStr">
        <is>
          <t>Women living longer and better : ideas and ideals in Swedish health care / edited by Gunnela Westlander, Jeanne Mager Stellman.</t>
        </is>
      </c>
      <c r="H816" t="inlineStr">
        <is>
          <t>No</t>
        </is>
      </c>
      <c r="I816" t="inlineStr">
        <is>
          <t>1</t>
        </is>
      </c>
      <c r="J816" t="inlineStr">
        <is>
          <t>No</t>
        </is>
      </c>
      <c r="K816" t="inlineStr">
        <is>
          <t>No</t>
        </is>
      </c>
      <c r="L816" t="inlineStr">
        <is>
          <t>0</t>
        </is>
      </c>
      <c r="M816" t="inlineStr">
        <is>
          <t>Government policy and women's health care.</t>
        </is>
      </c>
      <c r="N816" t="inlineStr">
        <is>
          <t>New York : Harrington Park Press, c1988.</t>
        </is>
      </c>
      <c r="O816" t="inlineStr">
        <is>
          <t>1988</t>
        </is>
      </c>
      <c r="Q816" t="inlineStr">
        <is>
          <t>eng</t>
        </is>
      </c>
      <c r="R816" t="inlineStr">
        <is>
          <t>nyu</t>
        </is>
      </c>
      <c r="T816" t="inlineStr">
        <is>
          <t xml:space="preserve">W  </t>
        </is>
      </c>
      <c r="U816" t="n">
        <v>3</v>
      </c>
      <c r="V816" t="n">
        <v>3</v>
      </c>
      <c r="W816" t="inlineStr">
        <is>
          <t>1992-10-21</t>
        </is>
      </c>
      <c r="X816" t="inlineStr">
        <is>
          <t>1992-10-21</t>
        </is>
      </c>
      <c r="Y816" t="inlineStr">
        <is>
          <t>1992-06-29</t>
        </is>
      </c>
      <c r="Z816" t="inlineStr">
        <is>
          <t>1992-06-29</t>
        </is>
      </c>
      <c r="AA816" t="n">
        <v>23</v>
      </c>
      <c r="AB816" t="n">
        <v>20</v>
      </c>
      <c r="AC816" t="n">
        <v>21</v>
      </c>
      <c r="AD816" t="n">
        <v>2</v>
      </c>
      <c r="AE816" t="n">
        <v>2</v>
      </c>
      <c r="AF816" t="n">
        <v>3</v>
      </c>
      <c r="AG816" t="n">
        <v>3</v>
      </c>
      <c r="AH816" t="n">
        <v>2</v>
      </c>
      <c r="AI816" t="n">
        <v>2</v>
      </c>
      <c r="AJ816" t="n">
        <v>0</v>
      </c>
      <c r="AK816" t="n">
        <v>0</v>
      </c>
      <c r="AL816" t="n">
        <v>2</v>
      </c>
      <c r="AM816" t="n">
        <v>2</v>
      </c>
      <c r="AN816" t="n">
        <v>1</v>
      </c>
      <c r="AO816" t="n">
        <v>1</v>
      </c>
      <c r="AP816" t="n">
        <v>0</v>
      </c>
      <c r="AQ816" t="n">
        <v>0</v>
      </c>
      <c r="AR816" t="inlineStr">
        <is>
          <t>No</t>
        </is>
      </c>
      <c r="AS816" t="inlineStr">
        <is>
          <t>No</t>
        </is>
      </c>
      <c r="AU816">
        <f>HYPERLINK("https://creighton-primo.hosted.exlibrisgroup.com/primo-explore/search?tab=default_tab&amp;search_scope=EVERYTHING&amp;vid=01CRU&amp;lang=en_US&amp;offset=0&amp;query=any,contains,991001307049702656","Catalog Record")</f>
        <v/>
      </c>
      <c r="AV816">
        <f>HYPERLINK("http://www.worldcat.org/oclc/17483644","WorldCat Record")</f>
        <v/>
      </c>
      <c r="AW816" t="inlineStr">
        <is>
          <t>836707170:eng</t>
        </is>
      </c>
      <c r="AX816" t="inlineStr">
        <is>
          <t>17483644</t>
        </is>
      </c>
      <c r="AY816" t="inlineStr">
        <is>
          <t>991001307049702656</t>
        </is>
      </c>
      <c r="AZ816" t="inlineStr">
        <is>
          <t>991001307049702656</t>
        </is>
      </c>
      <c r="BA816" t="inlineStr">
        <is>
          <t>2259546060002656</t>
        </is>
      </c>
      <c r="BB816" t="inlineStr">
        <is>
          <t>BOOK</t>
        </is>
      </c>
      <c r="BD816" t="inlineStr">
        <is>
          <t>9780918393463</t>
        </is>
      </c>
      <c r="BE816" t="inlineStr">
        <is>
          <t>30001002414110</t>
        </is>
      </c>
      <c r="BF816" t="inlineStr">
        <is>
          <t>893284669</t>
        </is>
      </c>
    </row>
    <row r="817">
      <c r="A817" t="inlineStr">
        <is>
          <t>No</t>
        </is>
      </c>
      <c r="B817" t="inlineStr">
        <is>
          <t>CUHSL</t>
        </is>
      </c>
      <c r="C817" t="inlineStr">
        <is>
          <t>SHELVES</t>
        </is>
      </c>
      <c r="D817" t="inlineStr">
        <is>
          <t>W 84 JC6 S5h 1982</t>
        </is>
      </c>
      <c r="E817" t="inlineStr">
        <is>
          <t>0                      W  0084000JC 6                  S  5h          1982</t>
        </is>
      </c>
      <c r="F817" t="inlineStr">
        <is>
          <t>The health of China / Ruth Sidel and Victor W. Sidel, with a chapter on education by Mark Sidel.</t>
        </is>
      </c>
      <c r="H817" t="inlineStr">
        <is>
          <t>No</t>
        </is>
      </c>
      <c r="I817" t="inlineStr">
        <is>
          <t>1</t>
        </is>
      </c>
      <c r="J817" t="inlineStr">
        <is>
          <t>No</t>
        </is>
      </c>
      <c r="K817" t="inlineStr">
        <is>
          <t>No</t>
        </is>
      </c>
      <c r="L817" t="inlineStr">
        <is>
          <t>0</t>
        </is>
      </c>
      <c r="M817" t="inlineStr">
        <is>
          <t>Sidel, Ruth.</t>
        </is>
      </c>
      <c r="N817" t="inlineStr">
        <is>
          <t>Boston : Beacon Press, c1982.</t>
        </is>
      </c>
      <c r="O817" t="inlineStr">
        <is>
          <t>1982</t>
        </is>
      </c>
      <c r="Q817" t="inlineStr">
        <is>
          <t>eng</t>
        </is>
      </c>
      <c r="R817" t="inlineStr">
        <is>
          <t>xxu</t>
        </is>
      </c>
      <c r="T817" t="inlineStr">
        <is>
          <t xml:space="preserve">W  </t>
        </is>
      </c>
      <c r="U817" t="n">
        <v>9</v>
      </c>
      <c r="V817" t="n">
        <v>9</v>
      </c>
      <c r="W817" t="inlineStr">
        <is>
          <t>1993-01-28</t>
        </is>
      </c>
      <c r="X817" t="inlineStr">
        <is>
          <t>1993-01-28</t>
        </is>
      </c>
      <c r="Y817" t="inlineStr">
        <is>
          <t>1989-09-27</t>
        </is>
      </c>
      <c r="Z817" t="inlineStr">
        <is>
          <t>1989-09-27</t>
        </is>
      </c>
      <c r="AA817" t="n">
        <v>356</v>
      </c>
      <c r="AB817" t="n">
        <v>306</v>
      </c>
      <c r="AC817" t="n">
        <v>317</v>
      </c>
      <c r="AD817" t="n">
        <v>2</v>
      </c>
      <c r="AE817" t="n">
        <v>2</v>
      </c>
      <c r="AF817" t="n">
        <v>11</v>
      </c>
      <c r="AG817" t="n">
        <v>11</v>
      </c>
      <c r="AH817" t="n">
        <v>3</v>
      </c>
      <c r="AI817" t="n">
        <v>3</v>
      </c>
      <c r="AJ817" t="n">
        <v>3</v>
      </c>
      <c r="AK817" t="n">
        <v>3</v>
      </c>
      <c r="AL817" t="n">
        <v>8</v>
      </c>
      <c r="AM817" t="n">
        <v>8</v>
      </c>
      <c r="AN817" t="n">
        <v>1</v>
      </c>
      <c r="AO817" t="n">
        <v>1</v>
      </c>
      <c r="AP817" t="n">
        <v>0</v>
      </c>
      <c r="AQ817" t="n">
        <v>0</v>
      </c>
      <c r="AR817" t="inlineStr">
        <is>
          <t>No</t>
        </is>
      </c>
      <c r="AS817" t="inlineStr">
        <is>
          <t>Yes</t>
        </is>
      </c>
      <c r="AT817">
        <f>HYPERLINK("http://catalog.hathitrust.org/Record/000762414","HathiTrust Record")</f>
        <v/>
      </c>
      <c r="AU817">
        <f>HYPERLINK("https://creighton-primo.hosted.exlibrisgroup.com/primo-explore/search?tab=default_tab&amp;search_scope=EVERYTHING&amp;vid=01CRU&amp;lang=en_US&amp;offset=0&amp;query=any,contains,991001323349702656","Catalog Record")</f>
        <v/>
      </c>
      <c r="AV817">
        <f>HYPERLINK("http://www.worldcat.org/oclc/8111619","WorldCat Record")</f>
        <v/>
      </c>
      <c r="AW817" t="inlineStr">
        <is>
          <t>4363838:eng</t>
        </is>
      </c>
      <c r="AX817" t="inlineStr">
        <is>
          <t>8111619</t>
        </is>
      </c>
      <c r="AY817" t="inlineStr">
        <is>
          <t>991001323349702656</t>
        </is>
      </c>
      <c r="AZ817" t="inlineStr">
        <is>
          <t>991001323349702656</t>
        </is>
      </c>
      <c r="BA817" t="inlineStr">
        <is>
          <t>2269926500002656</t>
        </is>
      </c>
      <c r="BB817" t="inlineStr">
        <is>
          <t>BOOK</t>
        </is>
      </c>
      <c r="BD817" t="inlineStr">
        <is>
          <t>9780807021606</t>
        </is>
      </c>
      <c r="BE817" t="inlineStr">
        <is>
          <t>30001001754227</t>
        </is>
      </c>
      <c r="BF817" t="inlineStr">
        <is>
          <t>893541255</t>
        </is>
      </c>
    </row>
    <row r="818">
      <c r="A818" t="inlineStr">
        <is>
          <t>No</t>
        </is>
      </c>
      <c r="B818" t="inlineStr">
        <is>
          <t>CUHSL</t>
        </is>
      </c>
      <c r="C818" t="inlineStr">
        <is>
          <t>SHELVES</t>
        </is>
      </c>
      <c r="D818" t="inlineStr">
        <is>
          <t>W 84 K24h 1993</t>
        </is>
      </c>
      <c r="E818" t="inlineStr">
        <is>
          <t>0                      W  0084000K  24h         1993</t>
        </is>
      </c>
      <c r="F818" t="inlineStr">
        <is>
          <t>Health care reform : a Catholic view / Philip S. Keane.</t>
        </is>
      </c>
      <c r="H818" t="inlineStr">
        <is>
          <t>No</t>
        </is>
      </c>
      <c r="I818" t="inlineStr">
        <is>
          <t>1</t>
        </is>
      </c>
      <c r="J818" t="inlineStr">
        <is>
          <t>No</t>
        </is>
      </c>
      <c r="K818" t="inlineStr">
        <is>
          <t>No</t>
        </is>
      </c>
      <c r="L818" t="inlineStr">
        <is>
          <t>0</t>
        </is>
      </c>
      <c r="M818" t="inlineStr">
        <is>
          <t>Keane, Philip S.</t>
        </is>
      </c>
      <c r="N818" t="inlineStr">
        <is>
          <t>New York, NY : Paulist Press, c1993.</t>
        </is>
      </c>
      <c r="O818" t="inlineStr">
        <is>
          <t>1993</t>
        </is>
      </c>
      <c r="Q818" t="inlineStr">
        <is>
          <t>eng</t>
        </is>
      </c>
      <c r="R818" t="inlineStr">
        <is>
          <t>nyu</t>
        </is>
      </c>
      <c r="T818" t="inlineStr">
        <is>
          <t xml:space="preserve">W  </t>
        </is>
      </c>
      <c r="U818" t="n">
        <v>27</v>
      </c>
      <c r="V818" t="n">
        <v>27</v>
      </c>
      <c r="W818" t="inlineStr">
        <is>
          <t>2002-09-30</t>
        </is>
      </c>
      <c r="X818" t="inlineStr">
        <is>
          <t>2002-09-30</t>
        </is>
      </c>
      <c r="Y818" t="inlineStr">
        <is>
          <t>1993-08-04</t>
        </is>
      </c>
      <c r="Z818" t="inlineStr">
        <is>
          <t>1993-08-04</t>
        </is>
      </c>
      <c r="AA818" t="n">
        <v>243</v>
      </c>
      <c r="AB818" t="n">
        <v>214</v>
      </c>
      <c r="AC818" t="n">
        <v>216</v>
      </c>
      <c r="AD818" t="n">
        <v>1</v>
      </c>
      <c r="AE818" t="n">
        <v>1</v>
      </c>
      <c r="AF818" t="n">
        <v>23</v>
      </c>
      <c r="AG818" t="n">
        <v>23</v>
      </c>
      <c r="AH818" t="n">
        <v>6</v>
      </c>
      <c r="AI818" t="n">
        <v>6</v>
      </c>
      <c r="AJ818" t="n">
        <v>6</v>
      </c>
      <c r="AK818" t="n">
        <v>6</v>
      </c>
      <c r="AL818" t="n">
        <v>17</v>
      </c>
      <c r="AM818" t="n">
        <v>17</v>
      </c>
      <c r="AN818" t="n">
        <v>0</v>
      </c>
      <c r="AO818" t="n">
        <v>0</v>
      </c>
      <c r="AP818" t="n">
        <v>3</v>
      </c>
      <c r="AQ818" t="n">
        <v>3</v>
      </c>
      <c r="AR818" t="inlineStr">
        <is>
          <t>No</t>
        </is>
      </c>
      <c r="AS818" t="inlineStr">
        <is>
          <t>Yes</t>
        </is>
      </c>
      <c r="AT818">
        <f>HYPERLINK("http://catalog.hathitrust.org/Record/002718181","HathiTrust Record")</f>
        <v/>
      </c>
      <c r="AU818">
        <f>HYPERLINK("https://creighton-primo.hosted.exlibrisgroup.com/primo-explore/search?tab=default_tab&amp;search_scope=EVERYTHING&amp;vid=01CRU&amp;lang=en_US&amp;offset=0&amp;query=any,contains,991001480079702656","Catalog Record")</f>
        <v/>
      </c>
      <c r="AV818">
        <f>HYPERLINK("http://www.worldcat.org/oclc/27935553","WorldCat Record")</f>
        <v/>
      </c>
      <c r="AW818" t="inlineStr">
        <is>
          <t>353072:eng</t>
        </is>
      </c>
      <c r="AX818" t="inlineStr">
        <is>
          <t>27935553</t>
        </is>
      </c>
      <c r="AY818" t="inlineStr">
        <is>
          <t>991001480079702656</t>
        </is>
      </c>
      <c r="AZ818" t="inlineStr">
        <is>
          <t>991001480079702656</t>
        </is>
      </c>
      <c r="BA818" t="inlineStr">
        <is>
          <t>2258635690002656</t>
        </is>
      </c>
      <c r="BB818" t="inlineStr">
        <is>
          <t>BOOK</t>
        </is>
      </c>
      <c r="BD818" t="inlineStr">
        <is>
          <t>9780809133857</t>
        </is>
      </c>
      <c r="BE818" t="inlineStr">
        <is>
          <t>30001002568568</t>
        </is>
      </c>
      <c r="BF818" t="inlineStr">
        <is>
          <t>893460629</t>
        </is>
      </c>
    </row>
    <row r="819">
      <c r="A819" t="inlineStr">
        <is>
          <t>No</t>
        </is>
      </c>
      <c r="B819" t="inlineStr">
        <is>
          <t>CUHSL</t>
        </is>
      </c>
      <c r="C819" t="inlineStr">
        <is>
          <t>SHELVES</t>
        </is>
      </c>
      <c r="D819" t="inlineStr">
        <is>
          <t>W 84 KA8 D835a 2004</t>
        </is>
      </c>
      <c r="E819" t="inlineStr">
        <is>
          <t>0                      W  0084000KA 8                  D  835a        2004</t>
        </is>
      </c>
      <c r="F819" t="inlineStr">
        <is>
          <t>The Australian health care system / S.J. Duckett.</t>
        </is>
      </c>
      <c r="H819" t="inlineStr">
        <is>
          <t>No</t>
        </is>
      </c>
      <c r="I819" t="inlineStr">
        <is>
          <t>1</t>
        </is>
      </c>
      <c r="J819" t="inlineStr">
        <is>
          <t>No</t>
        </is>
      </c>
      <c r="K819" t="inlineStr">
        <is>
          <t>No</t>
        </is>
      </c>
      <c r="L819" t="inlineStr">
        <is>
          <t>0</t>
        </is>
      </c>
      <c r="M819" t="inlineStr">
        <is>
          <t>Duckett, S. J.</t>
        </is>
      </c>
      <c r="N819" t="inlineStr">
        <is>
          <t>South Melbourne, Vic. ; Oxford : Oxford University Press, 2004.</t>
        </is>
      </c>
      <c r="O819" t="inlineStr">
        <is>
          <t>2004</t>
        </is>
      </c>
      <c r="P819" t="inlineStr">
        <is>
          <t>2nd ed.</t>
        </is>
      </c>
      <c r="Q819" t="inlineStr">
        <is>
          <t>eng</t>
        </is>
      </c>
      <c r="R819" t="inlineStr">
        <is>
          <t xml:space="preserve">at </t>
        </is>
      </c>
      <c r="T819" t="inlineStr">
        <is>
          <t xml:space="preserve">W  </t>
        </is>
      </c>
      <c r="U819" t="n">
        <v>2</v>
      </c>
      <c r="V819" t="n">
        <v>2</v>
      </c>
      <c r="W819" t="inlineStr">
        <is>
          <t>2009-04-30</t>
        </is>
      </c>
      <c r="X819" t="inlineStr">
        <is>
          <t>2009-04-30</t>
        </is>
      </c>
      <c r="Y819" t="inlineStr">
        <is>
          <t>2005-07-14</t>
        </is>
      </c>
      <c r="Z819" t="inlineStr">
        <is>
          <t>2005-07-14</t>
        </is>
      </c>
      <c r="AA819" t="n">
        <v>155</v>
      </c>
      <c r="AB819" t="n">
        <v>53</v>
      </c>
      <c r="AC819" t="n">
        <v>53</v>
      </c>
      <c r="AD819" t="n">
        <v>1</v>
      </c>
      <c r="AE819" t="n">
        <v>1</v>
      </c>
      <c r="AF819" t="n">
        <v>3</v>
      </c>
      <c r="AG819" t="n">
        <v>3</v>
      </c>
      <c r="AH819" t="n">
        <v>1</v>
      </c>
      <c r="AI819" t="n">
        <v>1</v>
      </c>
      <c r="AJ819" t="n">
        <v>2</v>
      </c>
      <c r="AK819" t="n">
        <v>2</v>
      </c>
      <c r="AL819" t="n">
        <v>1</v>
      </c>
      <c r="AM819" t="n">
        <v>1</v>
      </c>
      <c r="AN819" t="n">
        <v>0</v>
      </c>
      <c r="AO819" t="n">
        <v>0</v>
      </c>
      <c r="AP819" t="n">
        <v>0</v>
      </c>
      <c r="AQ819" t="n">
        <v>0</v>
      </c>
      <c r="AR819" t="inlineStr">
        <is>
          <t>No</t>
        </is>
      </c>
      <c r="AS819" t="inlineStr">
        <is>
          <t>No</t>
        </is>
      </c>
      <c r="AU819">
        <f>HYPERLINK("https://creighton-primo.hosted.exlibrisgroup.com/primo-explore/search?tab=default_tab&amp;search_scope=EVERYTHING&amp;vid=01CRU&amp;lang=en_US&amp;offset=0&amp;query=any,contains,991000441109702656","Catalog Record")</f>
        <v/>
      </c>
      <c r="AV819">
        <f>HYPERLINK("http://www.worldcat.org/oclc/56106085","WorldCat Record")</f>
        <v/>
      </c>
      <c r="AW819" t="inlineStr">
        <is>
          <t>8910296795:eng</t>
        </is>
      </c>
      <c r="AX819" t="inlineStr">
        <is>
          <t>56106085</t>
        </is>
      </c>
      <c r="AY819" t="inlineStr">
        <is>
          <t>991000441109702656</t>
        </is>
      </c>
      <c r="AZ819" t="inlineStr">
        <is>
          <t>991000441109702656</t>
        </is>
      </c>
      <c r="BA819" t="inlineStr">
        <is>
          <t>2260691410002656</t>
        </is>
      </c>
      <c r="BB819" t="inlineStr">
        <is>
          <t>BOOK</t>
        </is>
      </c>
      <c r="BD819" t="inlineStr">
        <is>
          <t>9780195517453</t>
        </is>
      </c>
      <c r="BE819" t="inlineStr">
        <is>
          <t>30001005000460</t>
        </is>
      </c>
      <c r="BF819" t="inlineStr">
        <is>
          <t>893811508</t>
        </is>
      </c>
    </row>
    <row r="820">
      <c r="A820" t="inlineStr">
        <is>
          <t>No</t>
        </is>
      </c>
      <c r="B820" t="inlineStr">
        <is>
          <t>CUHSL</t>
        </is>
      </c>
      <c r="C820" t="inlineStr">
        <is>
          <t>SHELVES</t>
        </is>
      </c>
      <c r="D820" t="inlineStr">
        <is>
          <t>W84. L419f 2003</t>
        </is>
      </c>
      <c r="E820" t="inlineStr">
        <is>
          <t>0                      W  0084000L  419f        2003</t>
        </is>
      </c>
      <c r="F820" t="inlineStr">
        <is>
          <t>From chaos to care : the promise of team-based medicine / David Lawrence.</t>
        </is>
      </c>
      <c r="H820" t="inlineStr">
        <is>
          <t>No</t>
        </is>
      </c>
      <c r="I820" t="inlineStr">
        <is>
          <t>1</t>
        </is>
      </c>
      <c r="J820" t="inlineStr">
        <is>
          <t>No</t>
        </is>
      </c>
      <c r="K820" t="inlineStr">
        <is>
          <t>No</t>
        </is>
      </c>
      <c r="L820" t="inlineStr">
        <is>
          <t>0</t>
        </is>
      </c>
      <c r="M820" t="inlineStr">
        <is>
          <t>Lawrence, David, 1940-</t>
        </is>
      </c>
      <c r="N820" t="inlineStr">
        <is>
          <t>Cambridge, Mass. : Da Capo Press, 2003.</t>
        </is>
      </c>
      <c r="O820" t="inlineStr">
        <is>
          <t>2003</t>
        </is>
      </c>
      <c r="Q820" t="inlineStr">
        <is>
          <t>eng</t>
        </is>
      </c>
      <c r="R820" t="inlineStr">
        <is>
          <t>mau</t>
        </is>
      </c>
      <c r="T820" t="inlineStr">
        <is>
          <t xml:space="preserve">W  </t>
        </is>
      </c>
      <c r="U820" t="n">
        <v>2</v>
      </c>
      <c r="V820" t="n">
        <v>2</v>
      </c>
      <c r="W820" t="inlineStr">
        <is>
          <t>2010-06-10</t>
        </is>
      </c>
      <c r="X820" t="inlineStr">
        <is>
          <t>2010-06-10</t>
        </is>
      </c>
      <c r="Y820" t="inlineStr">
        <is>
          <t>2005-04-01</t>
        </is>
      </c>
      <c r="Z820" t="inlineStr">
        <is>
          <t>2005-04-01</t>
        </is>
      </c>
      <c r="AA820" t="n">
        <v>26</v>
      </c>
      <c r="AB820" t="n">
        <v>24</v>
      </c>
      <c r="AC820" t="n">
        <v>799</v>
      </c>
      <c r="AD820" t="n">
        <v>1</v>
      </c>
      <c r="AE820" t="n">
        <v>26</v>
      </c>
      <c r="AF820" t="n">
        <v>1</v>
      </c>
      <c r="AG820" t="n">
        <v>20</v>
      </c>
      <c r="AH820" t="n">
        <v>1</v>
      </c>
      <c r="AI820" t="n">
        <v>7</v>
      </c>
      <c r="AJ820" t="n">
        <v>1</v>
      </c>
      <c r="AK820" t="n">
        <v>2</v>
      </c>
      <c r="AL820" t="n">
        <v>0</v>
      </c>
      <c r="AM820" t="n">
        <v>2</v>
      </c>
      <c r="AN820" t="n">
        <v>0</v>
      </c>
      <c r="AO820" t="n">
        <v>11</v>
      </c>
      <c r="AP820" t="n">
        <v>0</v>
      </c>
      <c r="AQ820" t="n">
        <v>0</v>
      </c>
      <c r="AR820" t="inlineStr">
        <is>
          <t>No</t>
        </is>
      </c>
      <c r="AS820" t="inlineStr">
        <is>
          <t>No</t>
        </is>
      </c>
      <c r="AU820">
        <f>HYPERLINK("https://creighton-primo.hosted.exlibrisgroup.com/primo-explore/search?tab=default_tab&amp;search_scope=EVERYTHING&amp;vid=01CRU&amp;lang=en_US&amp;offset=0&amp;query=any,contains,991000434479702656","Catalog Record")</f>
        <v/>
      </c>
      <c r="AV820">
        <f>HYPERLINK("http://www.worldcat.org/oclc/53809127","WorldCat Record")</f>
        <v/>
      </c>
      <c r="AW820" t="inlineStr">
        <is>
          <t>891239757:eng</t>
        </is>
      </c>
      <c r="AX820" t="inlineStr">
        <is>
          <t>53809127</t>
        </is>
      </c>
      <c r="AY820" t="inlineStr">
        <is>
          <t>991000434479702656</t>
        </is>
      </c>
      <c r="AZ820" t="inlineStr">
        <is>
          <t>991000434479702656</t>
        </is>
      </c>
      <c r="BA820" t="inlineStr">
        <is>
          <t>2261695730002656</t>
        </is>
      </c>
      <c r="BB820" t="inlineStr">
        <is>
          <t>BOOK</t>
        </is>
      </c>
      <c r="BD820" t="inlineStr">
        <is>
          <t>9780738208596</t>
        </is>
      </c>
      <c r="BE820" t="inlineStr">
        <is>
          <t>30001004929008</t>
        </is>
      </c>
      <c r="BF820" t="inlineStr">
        <is>
          <t>893723556</t>
        </is>
      </c>
    </row>
    <row r="821">
      <c r="A821" t="inlineStr">
        <is>
          <t>No</t>
        </is>
      </c>
      <c r="B821" t="inlineStr">
        <is>
          <t>CUHSL</t>
        </is>
      </c>
      <c r="C821" t="inlineStr">
        <is>
          <t>SHELVES</t>
        </is>
      </c>
      <c r="D821" t="inlineStr">
        <is>
          <t>W 84 M571r 1994</t>
        </is>
      </c>
      <c r="E821" t="inlineStr">
        <is>
          <t>0                      W  0084000M  571r        1994</t>
        </is>
      </c>
      <c r="F821" t="inlineStr">
        <is>
          <t>The road to health care reform : designing a system that works / Jeffrey C. Merrill.</t>
        </is>
      </c>
      <c r="H821" t="inlineStr">
        <is>
          <t>No</t>
        </is>
      </c>
      <c r="I821" t="inlineStr">
        <is>
          <t>1</t>
        </is>
      </c>
      <c r="J821" t="inlineStr">
        <is>
          <t>No</t>
        </is>
      </c>
      <c r="K821" t="inlineStr">
        <is>
          <t>No</t>
        </is>
      </c>
      <c r="L821" t="inlineStr">
        <is>
          <t>0</t>
        </is>
      </c>
      <c r="M821" t="inlineStr">
        <is>
          <t>Merrill, Jeffrey C.</t>
        </is>
      </c>
      <c r="N821" t="inlineStr">
        <is>
          <t>New York : Plenum Press, c1994.</t>
        </is>
      </c>
      <c r="O821" t="inlineStr">
        <is>
          <t>1994</t>
        </is>
      </c>
      <c r="Q821" t="inlineStr">
        <is>
          <t>eng</t>
        </is>
      </c>
      <c r="R821" t="inlineStr">
        <is>
          <t>nyu</t>
        </is>
      </c>
      <c r="T821" t="inlineStr">
        <is>
          <t xml:space="preserve">W  </t>
        </is>
      </c>
      <c r="U821" t="n">
        <v>12</v>
      </c>
      <c r="V821" t="n">
        <v>12</v>
      </c>
      <c r="W821" t="inlineStr">
        <is>
          <t>1997-02-06</t>
        </is>
      </c>
      <c r="X821" t="inlineStr">
        <is>
          <t>1997-02-06</t>
        </is>
      </c>
      <c r="Y821" t="inlineStr">
        <is>
          <t>1995-02-20</t>
        </is>
      </c>
      <c r="Z821" t="inlineStr">
        <is>
          <t>1995-02-20</t>
        </is>
      </c>
      <c r="AA821" t="n">
        <v>455</v>
      </c>
      <c r="AB821" t="n">
        <v>414</v>
      </c>
      <c r="AC821" t="n">
        <v>434</v>
      </c>
      <c r="AD821" t="n">
        <v>1</v>
      </c>
      <c r="AE821" t="n">
        <v>1</v>
      </c>
      <c r="AF821" t="n">
        <v>14</v>
      </c>
      <c r="AG821" t="n">
        <v>14</v>
      </c>
      <c r="AH821" t="n">
        <v>3</v>
      </c>
      <c r="AI821" t="n">
        <v>3</v>
      </c>
      <c r="AJ821" t="n">
        <v>4</v>
      </c>
      <c r="AK821" t="n">
        <v>4</v>
      </c>
      <c r="AL821" t="n">
        <v>13</v>
      </c>
      <c r="AM821" t="n">
        <v>13</v>
      </c>
      <c r="AN821" t="n">
        <v>0</v>
      </c>
      <c r="AO821" t="n">
        <v>0</v>
      </c>
      <c r="AP821" t="n">
        <v>0</v>
      </c>
      <c r="AQ821" t="n">
        <v>0</v>
      </c>
      <c r="AR821" t="inlineStr">
        <is>
          <t>No</t>
        </is>
      </c>
      <c r="AS821" t="inlineStr">
        <is>
          <t>Yes</t>
        </is>
      </c>
      <c r="AT821">
        <f>HYPERLINK("http://catalog.hathitrust.org/Record/002900640","HathiTrust Record")</f>
        <v/>
      </c>
      <c r="AU821">
        <f>HYPERLINK("https://creighton-primo.hosted.exlibrisgroup.com/primo-explore/search?tab=default_tab&amp;search_scope=EVERYTHING&amp;vid=01CRU&amp;lang=en_US&amp;offset=0&amp;query=any,contains,991001397199702656","Catalog Record")</f>
        <v/>
      </c>
      <c r="AV821">
        <f>HYPERLINK("http://www.worldcat.org/oclc/30814160","WorldCat Record")</f>
        <v/>
      </c>
      <c r="AW821" t="inlineStr">
        <is>
          <t>32748400:eng</t>
        </is>
      </c>
      <c r="AX821" t="inlineStr">
        <is>
          <t>30814160</t>
        </is>
      </c>
      <c r="AY821" t="inlineStr">
        <is>
          <t>991001397199702656</t>
        </is>
      </c>
      <c r="AZ821" t="inlineStr">
        <is>
          <t>991001397199702656</t>
        </is>
      </c>
      <c r="BA821" t="inlineStr">
        <is>
          <t>2268739750002656</t>
        </is>
      </c>
      <c r="BB821" t="inlineStr">
        <is>
          <t>BOOK</t>
        </is>
      </c>
      <c r="BD821" t="inlineStr">
        <is>
          <t>9780306447709</t>
        </is>
      </c>
      <c r="BE821" t="inlineStr">
        <is>
          <t>30001003146414</t>
        </is>
      </c>
      <c r="BF821" t="inlineStr">
        <is>
          <t>893821170</t>
        </is>
      </c>
    </row>
    <row r="822">
      <c r="A822" t="inlineStr">
        <is>
          <t>No</t>
        </is>
      </c>
      <c r="B822" t="inlineStr">
        <is>
          <t>CUHSL</t>
        </is>
      </c>
      <c r="C822" t="inlineStr">
        <is>
          <t>SHELVES</t>
        </is>
      </c>
      <c r="D822" t="inlineStr">
        <is>
          <t>W 84 R33 1980</t>
        </is>
      </c>
      <c r="E822" t="inlineStr">
        <is>
          <t>0                      W  0084000R  33          1980</t>
        </is>
      </c>
      <c r="F822" t="inlineStr">
        <is>
          <t>The U.S. health system : origins and functions / by Marshall W. Raffel.</t>
        </is>
      </c>
      <c r="H822" t="inlineStr">
        <is>
          <t>No</t>
        </is>
      </c>
      <c r="I822" t="inlineStr">
        <is>
          <t>1</t>
        </is>
      </c>
      <c r="J822" t="inlineStr">
        <is>
          <t>No</t>
        </is>
      </c>
      <c r="K822" t="inlineStr">
        <is>
          <t>Yes</t>
        </is>
      </c>
      <c r="L822" t="inlineStr">
        <is>
          <t>0</t>
        </is>
      </c>
      <c r="M822" t="inlineStr">
        <is>
          <t>Raffel, Marshall W.</t>
        </is>
      </c>
      <c r="N822" t="inlineStr">
        <is>
          <t>New York : Wiley, c1980.</t>
        </is>
      </c>
      <c r="O822" t="inlineStr">
        <is>
          <t>1980</t>
        </is>
      </c>
      <c r="Q822" t="inlineStr">
        <is>
          <t>eng</t>
        </is>
      </c>
      <c r="R822" t="inlineStr">
        <is>
          <t>nyu</t>
        </is>
      </c>
      <c r="S822" t="inlineStr">
        <is>
          <t>A Wiley medical publication</t>
        </is>
      </c>
      <c r="T822" t="inlineStr">
        <is>
          <t xml:space="preserve">W  </t>
        </is>
      </c>
      <c r="U822" t="n">
        <v>2</v>
      </c>
      <c r="V822" t="n">
        <v>2</v>
      </c>
      <c r="W822" t="inlineStr">
        <is>
          <t>1992-04-16</t>
        </is>
      </c>
      <c r="X822" t="inlineStr">
        <is>
          <t>1992-04-16</t>
        </is>
      </c>
      <c r="Y822" t="inlineStr">
        <is>
          <t>1987-12-22</t>
        </is>
      </c>
      <c r="Z822" t="inlineStr">
        <is>
          <t>1987-12-22</t>
        </is>
      </c>
      <c r="AA822" t="n">
        <v>350</v>
      </c>
      <c r="AB822" t="n">
        <v>298</v>
      </c>
      <c r="AC822" t="n">
        <v>701</v>
      </c>
      <c r="AD822" t="n">
        <v>1</v>
      </c>
      <c r="AE822" t="n">
        <v>3</v>
      </c>
      <c r="AF822" t="n">
        <v>11</v>
      </c>
      <c r="AG822" t="n">
        <v>26</v>
      </c>
      <c r="AH822" t="n">
        <v>3</v>
      </c>
      <c r="AI822" t="n">
        <v>10</v>
      </c>
      <c r="AJ822" t="n">
        <v>3</v>
      </c>
      <c r="AK822" t="n">
        <v>8</v>
      </c>
      <c r="AL822" t="n">
        <v>9</v>
      </c>
      <c r="AM822" t="n">
        <v>14</v>
      </c>
      <c r="AN822" t="n">
        <v>0</v>
      </c>
      <c r="AO822" t="n">
        <v>1</v>
      </c>
      <c r="AP822" t="n">
        <v>1</v>
      </c>
      <c r="AQ822" t="n">
        <v>2</v>
      </c>
      <c r="AR822" t="inlineStr">
        <is>
          <t>No</t>
        </is>
      </c>
      <c r="AS822" t="inlineStr">
        <is>
          <t>Yes</t>
        </is>
      </c>
      <c r="AT822">
        <f>HYPERLINK("http://catalog.hathitrust.org/Record/004416708","HathiTrust Record")</f>
        <v/>
      </c>
      <c r="AU822">
        <f>HYPERLINK("https://creighton-primo.hosted.exlibrisgroup.com/primo-explore/search?tab=default_tab&amp;search_scope=EVERYTHING&amp;vid=01CRU&amp;lang=en_US&amp;offset=0&amp;query=any,contains,991000658019702656","Catalog Record")</f>
        <v/>
      </c>
      <c r="AV822">
        <f>HYPERLINK("http://www.worldcat.org/oclc/5946309","WorldCat Record")</f>
        <v/>
      </c>
      <c r="AW822" t="inlineStr">
        <is>
          <t>796284012:eng</t>
        </is>
      </c>
      <c r="AX822" t="inlineStr">
        <is>
          <t>5946309</t>
        </is>
      </c>
      <c r="AY822" t="inlineStr">
        <is>
          <t>991000658019702656</t>
        </is>
      </c>
      <c r="AZ822" t="inlineStr">
        <is>
          <t>991000658019702656</t>
        </is>
      </c>
      <c r="BA822" t="inlineStr">
        <is>
          <t>2257707310002656</t>
        </is>
      </c>
      <c r="BB822" t="inlineStr">
        <is>
          <t>BOOK</t>
        </is>
      </c>
      <c r="BD822" t="inlineStr">
        <is>
          <t>9780471045120</t>
        </is>
      </c>
      <c r="BE822" t="inlineStr">
        <is>
          <t>30001000688202</t>
        </is>
      </c>
      <c r="BF822" t="inlineStr">
        <is>
          <t>893637177</t>
        </is>
      </c>
    </row>
    <row r="823">
      <c r="A823" t="inlineStr">
        <is>
          <t>No</t>
        </is>
      </c>
      <c r="B823" t="inlineStr">
        <is>
          <t>CUHSL</t>
        </is>
      </c>
      <c r="C823" t="inlineStr">
        <is>
          <t>SHELVES</t>
        </is>
      </c>
      <c r="D823" t="inlineStr">
        <is>
          <t>W 84 S145e 1992</t>
        </is>
      </c>
      <c r="E823" t="inlineStr">
        <is>
          <t>0                      W  0084000S  145e        1992</t>
        </is>
      </c>
      <c r="F823" t="inlineStr">
        <is>
          <t>Evaluating health services' effectiveness : a guide for health professionals, service managers, and policy makers / A.S. St. Leger, H. Schnieden, J.P. Walsworth-Bell.</t>
        </is>
      </c>
      <c r="H823" t="inlineStr">
        <is>
          <t>No</t>
        </is>
      </c>
      <c r="I823" t="inlineStr">
        <is>
          <t>1</t>
        </is>
      </c>
      <c r="J823" t="inlineStr">
        <is>
          <t>No</t>
        </is>
      </c>
      <c r="K823" t="inlineStr">
        <is>
          <t>No</t>
        </is>
      </c>
      <c r="L823" t="inlineStr">
        <is>
          <t>0</t>
        </is>
      </c>
      <c r="M823" t="inlineStr">
        <is>
          <t>St. Leger, A. S. (Anthony Selwyn), 1948-</t>
        </is>
      </c>
      <c r="N823" t="inlineStr">
        <is>
          <t>Milton Keynes ; Philadelphia : Open University Press, c1992.</t>
        </is>
      </c>
      <c r="O823" t="inlineStr">
        <is>
          <t>1992</t>
        </is>
      </c>
      <c r="Q823" t="inlineStr">
        <is>
          <t>eng</t>
        </is>
      </c>
      <c r="R823" t="inlineStr">
        <is>
          <t>enk</t>
        </is>
      </c>
      <c r="T823" t="inlineStr">
        <is>
          <t xml:space="preserve">W  </t>
        </is>
      </c>
      <c r="U823" t="n">
        <v>6</v>
      </c>
      <c r="V823" t="n">
        <v>6</v>
      </c>
      <c r="W823" t="inlineStr">
        <is>
          <t>1998-06-03</t>
        </is>
      </c>
      <c r="X823" t="inlineStr">
        <is>
          <t>1998-06-03</t>
        </is>
      </c>
      <c r="Y823" t="inlineStr">
        <is>
          <t>1993-03-04</t>
        </is>
      </c>
      <c r="Z823" t="inlineStr">
        <is>
          <t>1993-03-04</t>
        </is>
      </c>
      <c r="AA823" t="n">
        <v>206</v>
      </c>
      <c r="AB823" t="n">
        <v>77</v>
      </c>
      <c r="AC823" t="n">
        <v>84</v>
      </c>
      <c r="AD823" t="n">
        <v>1</v>
      </c>
      <c r="AE823" t="n">
        <v>1</v>
      </c>
      <c r="AF823" t="n">
        <v>2</v>
      </c>
      <c r="AG823" t="n">
        <v>2</v>
      </c>
      <c r="AH823" t="n">
        <v>1</v>
      </c>
      <c r="AI823" t="n">
        <v>1</v>
      </c>
      <c r="AJ823" t="n">
        <v>1</v>
      </c>
      <c r="AK823" t="n">
        <v>1</v>
      </c>
      <c r="AL823" t="n">
        <v>1</v>
      </c>
      <c r="AM823" t="n">
        <v>1</v>
      </c>
      <c r="AN823" t="n">
        <v>0</v>
      </c>
      <c r="AO823" t="n">
        <v>0</v>
      </c>
      <c r="AP823" t="n">
        <v>0</v>
      </c>
      <c r="AQ823" t="n">
        <v>0</v>
      </c>
      <c r="AR823" t="inlineStr">
        <is>
          <t>No</t>
        </is>
      </c>
      <c r="AS823" t="inlineStr">
        <is>
          <t>Yes</t>
        </is>
      </c>
      <c r="AT823">
        <f>HYPERLINK("http://catalog.hathitrust.org/Record/004551815","HathiTrust Record")</f>
        <v/>
      </c>
      <c r="AU823">
        <f>HYPERLINK("https://creighton-primo.hosted.exlibrisgroup.com/primo-explore/search?tab=default_tab&amp;search_scope=EVERYTHING&amp;vid=01CRU&amp;lang=en_US&amp;offset=0&amp;query=any,contains,991001432169702656","Catalog Record")</f>
        <v/>
      </c>
      <c r="AV823">
        <f>HYPERLINK("http://www.worldcat.org/oclc/24068595","WorldCat Record")</f>
        <v/>
      </c>
      <c r="AW823" t="inlineStr">
        <is>
          <t>24135447:eng</t>
        </is>
      </c>
      <c r="AX823" t="inlineStr">
        <is>
          <t>24068595</t>
        </is>
      </c>
      <c r="AY823" t="inlineStr">
        <is>
          <t>991001432169702656</t>
        </is>
      </c>
      <c r="AZ823" t="inlineStr">
        <is>
          <t>991001432169702656</t>
        </is>
      </c>
      <c r="BA823" t="inlineStr">
        <is>
          <t>2261408060002656</t>
        </is>
      </c>
      <c r="BB823" t="inlineStr">
        <is>
          <t>BOOK</t>
        </is>
      </c>
      <c r="BD823" t="inlineStr">
        <is>
          <t>9780335093564</t>
        </is>
      </c>
      <c r="BE823" t="inlineStr">
        <is>
          <t>30001002529776</t>
        </is>
      </c>
      <c r="BF823" t="inlineStr">
        <is>
          <t>893161985</t>
        </is>
      </c>
    </row>
    <row r="824">
      <c r="A824" t="inlineStr">
        <is>
          <t>No</t>
        </is>
      </c>
      <c r="B824" t="inlineStr">
        <is>
          <t>CUHSL</t>
        </is>
      </c>
      <c r="C824" t="inlineStr">
        <is>
          <t>SHELVES</t>
        </is>
      </c>
      <c r="D824" t="inlineStr">
        <is>
          <t>W84 S512d 2004</t>
        </is>
      </c>
      <c r="E824" t="inlineStr">
        <is>
          <t>0                      W  0084000S  512d        2004</t>
        </is>
      </c>
      <c r="F824" t="inlineStr">
        <is>
          <t>Delivering health care in America : a systems approach / Leiyu Shi, Douglas A. Singh.</t>
        </is>
      </c>
      <c r="H824" t="inlineStr">
        <is>
          <t>No</t>
        </is>
      </c>
      <c r="I824" t="inlineStr">
        <is>
          <t>1</t>
        </is>
      </c>
      <c r="J824" t="inlineStr">
        <is>
          <t>No</t>
        </is>
      </c>
      <c r="K824" t="inlineStr">
        <is>
          <t>Yes</t>
        </is>
      </c>
      <c r="L824" t="inlineStr">
        <is>
          <t>2</t>
        </is>
      </c>
      <c r="M824" t="inlineStr">
        <is>
          <t>Shi, Leiyu.</t>
        </is>
      </c>
      <c r="N824" t="inlineStr">
        <is>
          <t>Boston : Jones and Bartlett, c2004.</t>
        </is>
      </c>
      <c r="O824" t="inlineStr">
        <is>
          <t>2004</t>
        </is>
      </c>
      <c r="P824" t="inlineStr">
        <is>
          <t>3rd ed.</t>
        </is>
      </c>
      <c r="Q824" t="inlineStr">
        <is>
          <t>eng</t>
        </is>
      </c>
      <c r="R824" t="inlineStr">
        <is>
          <t>mau</t>
        </is>
      </c>
      <c r="T824" t="inlineStr">
        <is>
          <t xml:space="preserve">W  </t>
        </is>
      </c>
      <c r="U824" t="n">
        <v>13</v>
      </c>
      <c r="V824" t="n">
        <v>13</v>
      </c>
      <c r="W824" t="inlineStr">
        <is>
          <t>2009-11-20</t>
        </is>
      </c>
      <c r="X824" t="inlineStr">
        <is>
          <t>2009-11-20</t>
        </is>
      </c>
      <c r="Y824" t="inlineStr">
        <is>
          <t>2003-12-05</t>
        </is>
      </c>
      <c r="Z824" t="inlineStr">
        <is>
          <t>2003-12-05</t>
        </is>
      </c>
      <c r="AA824" t="n">
        <v>290</v>
      </c>
      <c r="AB824" t="n">
        <v>267</v>
      </c>
      <c r="AC824" t="n">
        <v>989</v>
      </c>
      <c r="AD824" t="n">
        <v>1</v>
      </c>
      <c r="AE824" t="n">
        <v>8</v>
      </c>
      <c r="AF824" t="n">
        <v>11</v>
      </c>
      <c r="AG824" t="n">
        <v>43</v>
      </c>
      <c r="AH824" t="n">
        <v>2</v>
      </c>
      <c r="AI824" t="n">
        <v>16</v>
      </c>
      <c r="AJ824" t="n">
        <v>5</v>
      </c>
      <c r="AK824" t="n">
        <v>8</v>
      </c>
      <c r="AL824" t="n">
        <v>7</v>
      </c>
      <c r="AM824" t="n">
        <v>21</v>
      </c>
      <c r="AN824" t="n">
        <v>0</v>
      </c>
      <c r="AO824" t="n">
        <v>6</v>
      </c>
      <c r="AP824" t="n">
        <v>0</v>
      </c>
      <c r="AQ824" t="n">
        <v>1</v>
      </c>
      <c r="AR824" t="inlineStr">
        <is>
          <t>No</t>
        </is>
      </c>
      <c r="AS824" t="inlineStr">
        <is>
          <t>Yes</t>
        </is>
      </c>
      <c r="AT824">
        <f>HYPERLINK("http://catalog.hathitrust.org/Record/004342950","HathiTrust Record")</f>
        <v/>
      </c>
      <c r="AU824">
        <f>HYPERLINK("https://creighton-primo.hosted.exlibrisgroup.com/primo-explore/search?tab=default_tab&amp;search_scope=EVERYTHING&amp;vid=01CRU&amp;lang=en_US&amp;offset=0&amp;query=any,contains,991000360859702656","Catalog Record")</f>
        <v/>
      </c>
      <c r="AV824">
        <f>HYPERLINK("http://www.worldcat.org/oclc/52494322","WorldCat Record")</f>
        <v/>
      </c>
      <c r="AW824" t="inlineStr">
        <is>
          <t>758330:eng</t>
        </is>
      </c>
      <c r="AX824" t="inlineStr">
        <is>
          <t>52494322</t>
        </is>
      </c>
      <c r="AY824" t="inlineStr">
        <is>
          <t>991000360859702656</t>
        </is>
      </c>
      <c r="AZ824" t="inlineStr">
        <is>
          <t>991000360859702656</t>
        </is>
      </c>
      <c r="BA824" t="inlineStr">
        <is>
          <t>2260790880002656</t>
        </is>
      </c>
      <c r="BB824" t="inlineStr">
        <is>
          <t>BOOK</t>
        </is>
      </c>
      <c r="BD824" t="inlineStr">
        <is>
          <t>9780763731991</t>
        </is>
      </c>
      <c r="BE824" t="inlineStr">
        <is>
          <t>30001004506996</t>
        </is>
      </c>
      <c r="BF824" t="inlineStr">
        <is>
          <t>893629170</t>
        </is>
      </c>
    </row>
    <row r="825">
      <c r="A825" t="inlineStr">
        <is>
          <t>No</t>
        </is>
      </c>
      <c r="B825" t="inlineStr">
        <is>
          <t>CUHSL</t>
        </is>
      </c>
      <c r="C825" t="inlineStr">
        <is>
          <t>SHELVES</t>
        </is>
      </c>
      <c r="D825" t="inlineStr">
        <is>
          <t>W 84 S555d 1998</t>
        </is>
      </c>
      <c r="E825" t="inlineStr">
        <is>
          <t>0                      W  0084000S  555d        1998</t>
        </is>
      </c>
      <c r="F825" t="inlineStr">
        <is>
          <t>Delivering health care in America : a systems approach / Leiyu Shi, Douglas A. Singh.</t>
        </is>
      </c>
      <c r="H825" t="inlineStr">
        <is>
          <t>No</t>
        </is>
      </c>
      <c r="I825" t="inlineStr">
        <is>
          <t>1</t>
        </is>
      </c>
      <c r="J825" t="inlineStr">
        <is>
          <t>No</t>
        </is>
      </c>
      <c r="K825" t="inlineStr">
        <is>
          <t>Yes</t>
        </is>
      </c>
      <c r="L825" t="inlineStr">
        <is>
          <t>2</t>
        </is>
      </c>
      <c r="M825" t="inlineStr">
        <is>
          <t>Shi, Leiyu.</t>
        </is>
      </c>
      <c r="N825" t="inlineStr">
        <is>
          <t>Gaithersburg, Md. : Aspen Publishers, c1998.</t>
        </is>
      </c>
      <c r="O825" t="inlineStr">
        <is>
          <t>1998</t>
        </is>
      </c>
      <c r="Q825" t="inlineStr">
        <is>
          <t>eng</t>
        </is>
      </c>
      <c r="R825" t="inlineStr">
        <is>
          <t>mdu</t>
        </is>
      </c>
      <c r="T825" t="inlineStr">
        <is>
          <t xml:space="preserve">W  </t>
        </is>
      </c>
      <c r="U825" t="n">
        <v>19</v>
      </c>
      <c r="V825" t="n">
        <v>19</v>
      </c>
      <c r="W825" t="inlineStr">
        <is>
          <t>2002-06-03</t>
        </is>
      </c>
      <c r="X825" t="inlineStr">
        <is>
          <t>2002-06-03</t>
        </is>
      </c>
      <c r="Y825" t="inlineStr">
        <is>
          <t>1999-01-19</t>
        </is>
      </c>
      <c r="Z825" t="inlineStr">
        <is>
          <t>1999-01-19</t>
        </is>
      </c>
      <c r="AA825" t="n">
        <v>213</v>
      </c>
      <c r="AB825" t="n">
        <v>201</v>
      </c>
      <c r="AC825" t="n">
        <v>989</v>
      </c>
      <c r="AD825" t="n">
        <v>1</v>
      </c>
      <c r="AE825" t="n">
        <v>8</v>
      </c>
      <c r="AF825" t="n">
        <v>9</v>
      </c>
      <c r="AG825" t="n">
        <v>43</v>
      </c>
      <c r="AH825" t="n">
        <v>4</v>
      </c>
      <c r="AI825" t="n">
        <v>16</v>
      </c>
      <c r="AJ825" t="n">
        <v>0</v>
      </c>
      <c r="AK825" t="n">
        <v>8</v>
      </c>
      <c r="AL825" t="n">
        <v>5</v>
      </c>
      <c r="AM825" t="n">
        <v>21</v>
      </c>
      <c r="AN825" t="n">
        <v>0</v>
      </c>
      <c r="AO825" t="n">
        <v>6</v>
      </c>
      <c r="AP825" t="n">
        <v>1</v>
      </c>
      <c r="AQ825" t="n">
        <v>1</v>
      </c>
      <c r="AR825" t="inlineStr">
        <is>
          <t>No</t>
        </is>
      </c>
      <c r="AS825" t="inlineStr">
        <is>
          <t>No</t>
        </is>
      </c>
      <c r="AU825">
        <f>HYPERLINK("https://creighton-primo.hosted.exlibrisgroup.com/primo-explore/search?tab=default_tab&amp;search_scope=EVERYTHING&amp;vid=01CRU&amp;lang=en_US&amp;offset=0&amp;query=any,contains,991001531909702656","Catalog Record")</f>
        <v/>
      </c>
      <c r="AV825">
        <f>HYPERLINK("http://www.worldcat.org/oclc/39116645","WorldCat Record")</f>
        <v/>
      </c>
      <c r="AW825" t="inlineStr">
        <is>
          <t>758330:eng</t>
        </is>
      </c>
      <c r="AX825" t="inlineStr">
        <is>
          <t>39116645</t>
        </is>
      </c>
      <c r="AY825" t="inlineStr">
        <is>
          <t>991001531909702656</t>
        </is>
      </c>
      <c r="AZ825" t="inlineStr">
        <is>
          <t>991001531909702656</t>
        </is>
      </c>
      <c r="BA825" t="inlineStr">
        <is>
          <t>2258499670002656</t>
        </is>
      </c>
      <c r="BB825" t="inlineStr">
        <is>
          <t>BOOK</t>
        </is>
      </c>
      <c r="BD825" t="inlineStr">
        <is>
          <t>9780834210813</t>
        </is>
      </c>
      <c r="BE825" t="inlineStr">
        <is>
          <t>30001003961721</t>
        </is>
      </c>
      <c r="BF825" t="inlineStr">
        <is>
          <t>893558073</t>
        </is>
      </c>
    </row>
    <row r="826">
      <c r="A826" t="inlineStr">
        <is>
          <t>No</t>
        </is>
      </c>
      <c r="B826" t="inlineStr">
        <is>
          <t>CUHSL</t>
        </is>
      </c>
      <c r="C826" t="inlineStr">
        <is>
          <t>SHELVES</t>
        </is>
      </c>
      <c r="D826" t="inlineStr">
        <is>
          <t>W 84 U58h 1991</t>
        </is>
      </c>
      <c r="E826" t="inlineStr">
        <is>
          <t>0                      W  0084000U  58h         1991</t>
        </is>
      </c>
      <c r="F826" t="inlineStr">
        <is>
          <t>Universal health care coverage in the United States / edited by James E. Hamner III, Ph.D., M.B.A.</t>
        </is>
      </c>
      <c r="H826" t="inlineStr">
        <is>
          <t>No</t>
        </is>
      </c>
      <c r="I826" t="inlineStr">
        <is>
          <t>1</t>
        </is>
      </c>
      <c r="J826" t="inlineStr">
        <is>
          <t>No</t>
        </is>
      </c>
      <c r="K826" t="inlineStr">
        <is>
          <t>No</t>
        </is>
      </c>
      <c r="L826" t="inlineStr">
        <is>
          <t>0</t>
        </is>
      </c>
      <c r="N826" t="inlineStr">
        <is>
          <t>Memphis, Tenn. : University of Tennessee, Memphis, The Frank M. Norfleet Forum for the Advancement of Health, c1991.</t>
        </is>
      </c>
      <c r="O826" t="inlineStr">
        <is>
          <t>1991</t>
        </is>
      </c>
      <c r="Q826" t="inlineStr">
        <is>
          <t>eng</t>
        </is>
      </c>
      <c r="R826" t="inlineStr">
        <is>
          <t xml:space="preserve">xx </t>
        </is>
      </c>
      <c r="T826" t="inlineStr">
        <is>
          <t xml:space="preserve">W  </t>
        </is>
      </c>
      <c r="U826" t="n">
        <v>3</v>
      </c>
      <c r="V826" t="n">
        <v>3</v>
      </c>
      <c r="W826" t="inlineStr">
        <is>
          <t>1997-03-23</t>
        </is>
      </c>
      <c r="X826" t="inlineStr">
        <is>
          <t>1997-03-23</t>
        </is>
      </c>
      <c r="Y826" t="inlineStr">
        <is>
          <t>1991-08-23</t>
        </is>
      </c>
      <c r="Z826" t="inlineStr">
        <is>
          <t>1991-08-23</t>
        </is>
      </c>
      <c r="AA826" t="n">
        <v>34</v>
      </c>
      <c r="AB826" t="n">
        <v>34</v>
      </c>
      <c r="AC826" t="n">
        <v>34</v>
      </c>
      <c r="AD826" t="n">
        <v>1</v>
      </c>
      <c r="AE826" t="n">
        <v>1</v>
      </c>
      <c r="AF826" t="n">
        <v>1</v>
      </c>
      <c r="AG826" t="n">
        <v>1</v>
      </c>
      <c r="AH826" t="n">
        <v>0</v>
      </c>
      <c r="AI826" t="n">
        <v>0</v>
      </c>
      <c r="AJ826" t="n">
        <v>0</v>
      </c>
      <c r="AK826" t="n">
        <v>0</v>
      </c>
      <c r="AL826" t="n">
        <v>0</v>
      </c>
      <c r="AM826" t="n">
        <v>0</v>
      </c>
      <c r="AN826" t="n">
        <v>0</v>
      </c>
      <c r="AO826" t="n">
        <v>0</v>
      </c>
      <c r="AP826" t="n">
        <v>1</v>
      </c>
      <c r="AQ826" t="n">
        <v>1</v>
      </c>
      <c r="AR826" t="inlineStr">
        <is>
          <t>No</t>
        </is>
      </c>
      <c r="AS826" t="inlineStr">
        <is>
          <t>No</t>
        </is>
      </c>
      <c r="AU826">
        <f>HYPERLINK("https://creighton-primo.hosted.exlibrisgroup.com/primo-explore/search?tab=default_tab&amp;search_scope=EVERYTHING&amp;vid=01CRU&amp;lang=en_US&amp;offset=0&amp;query=any,contains,991000945979702656","Catalog Record")</f>
        <v/>
      </c>
      <c r="AV826">
        <f>HYPERLINK("http://www.worldcat.org/oclc/26318683","WorldCat Record")</f>
        <v/>
      </c>
      <c r="AW826" t="inlineStr">
        <is>
          <t>28824846:eng</t>
        </is>
      </c>
      <c r="AX826" t="inlineStr">
        <is>
          <t>26318683</t>
        </is>
      </c>
      <c r="AY826" t="inlineStr">
        <is>
          <t>991000945979702656</t>
        </is>
      </c>
      <c r="AZ826" t="inlineStr">
        <is>
          <t>991000945979702656</t>
        </is>
      </c>
      <c r="BA826" t="inlineStr">
        <is>
          <t>2265238390002656</t>
        </is>
      </c>
      <c r="BB826" t="inlineStr">
        <is>
          <t>BOOK</t>
        </is>
      </c>
      <c r="BE826" t="inlineStr">
        <is>
          <t>30001002193763</t>
        </is>
      </c>
      <c r="BF826" t="inlineStr">
        <is>
          <t>893826250</t>
        </is>
      </c>
    </row>
    <row r="827">
      <c r="A827" t="inlineStr">
        <is>
          <t>No</t>
        </is>
      </c>
      <c r="B827" t="inlineStr">
        <is>
          <t>CUHSL</t>
        </is>
      </c>
      <c r="C827" t="inlineStr">
        <is>
          <t>SHELVES</t>
        </is>
      </c>
      <c r="D827" t="inlineStr">
        <is>
          <t>W 84.1 A512c 1992</t>
        </is>
      </c>
      <c r="E827" t="inlineStr">
        <is>
          <t>0                      W  0084100A  512c        1992</t>
        </is>
      </c>
      <c r="F827" t="inlineStr">
        <is>
          <t>Change and continuity in health care in the United States : a position paper on access, health care financing, and reform.</t>
        </is>
      </c>
      <c r="H827" t="inlineStr">
        <is>
          <t>No</t>
        </is>
      </c>
      <c r="I827" t="inlineStr">
        <is>
          <t>1</t>
        </is>
      </c>
      <c r="J827" t="inlineStr">
        <is>
          <t>No</t>
        </is>
      </c>
      <c r="K827" t="inlineStr">
        <is>
          <t>No</t>
        </is>
      </c>
      <c r="L827" t="inlineStr">
        <is>
          <t>0</t>
        </is>
      </c>
      <c r="M827" t="inlineStr">
        <is>
          <t>American Dental Association. Task Force on Access, Health Care Financing and Reform.</t>
        </is>
      </c>
      <c r="N827" t="inlineStr">
        <is>
          <t>[Chicago] : The Association, [1992]</t>
        </is>
      </c>
      <c r="O827" t="inlineStr">
        <is>
          <t>1992</t>
        </is>
      </c>
      <c r="Q827" t="inlineStr">
        <is>
          <t>eng</t>
        </is>
      </c>
      <c r="R827" t="inlineStr">
        <is>
          <t>ilu</t>
        </is>
      </c>
      <c r="T827" t="inlineStr">
        <is>
          <t xml:space="preserve">W  </t>
        </is>
      </c>
      <c r="U827" t="n">
        <v>6</v>
      </c>
      <c r="V827" t="n">
        <v>6</v>
      </c>
      <c r="W827" t="inlineStr">
        <is>
          <t>1997-02-14</t>
        </is>
      </c>
      <c r="X827" t="inlineStr">
        <is>
          <t>1997-02-14</t>
        </is>
      </c>
      <c r="Y827" t="inlineStr">
        <is>
          <t>1993-08-27</t>
        </is>
      </c>
      <c r="Z827" t="inlineStr">
        <is>
          <t>1993-08-27</t>
        </is>
      </c>
      <c r="AA827" t="n">
        <v>3</v>
      </c>
      <c r="AB827" t="n">
        <v>3</v>
      </c>
      <c r="AC827" t="n">
        <v>5</v>
      </c>
      <c r="AD827" t="n">
        <v>1</v>
      </c>
      <c r="AE827" t="n">
        <v>1</v>
      </c>
      <c r="AF827" t="n">
        <v>0</v>
      </c>
      <c r="AG827" t="n">
        <v>0</v>
      </c>
      <c r="AH827" t="n">
        <v>0</v>
      </c>
      <c r="AI827" t="n">
        <v>0</v>
      </c>
      <c r="AJ827" t="n">
        <v>0</v>
      </c>
      <c r="AK827" t="n">
        <v>0</v>
      </c>
      <c r="AL827" t="n">
        <v>0</v>
      </c>
      <c r="AM827" t="n">
        <v>0</v>
      </c>
      <c r="AN827" t="n">
        <v>0</v>
      </c>
      <c r="AO827" t="n">
        <v>0</v>
      </c>
      <c r="AP827" t="n">
        <v>0</v>
      </c>
      <c r="AQ827" t="n">
        <v>0</v>
      </c>
      <c r="AR827" t="inlineStr">
        <is>
          <t>No</t>
        </is>
      </c>
      <c r="AS827" t="inlineStr">
        <is>
          <t>Yes</t>
        </is>
      </c>
      <c r="AT827">
        <f>HYPERLINK("http://catalog.hathitrust.org/Record/002628071","HathiTrust Record")</f>
        <v/>
      </c>
      <c r="AU827">
        <f>HYPERLINK("https://creighton-primo.hosted.exlibrisgroup.com/primo-explore/search?tab=default_tab&amp;search_scope=EVERYTHING&amp;vid=01CRU&amp;lang=en_US&amp;offset=0&amp;query=any,contains,991001509769702656","Catalog Record")</f>
        <v/>
      </c>
      <c r="AV827">
        <f>HYPERLINK("http://www.worldcat.org/oclc/27212369","WorldCat Record")</f>
        <v/>
      </c>
      <c r="AW827" t="inlineStr">
        <is>
          <t>1151645368:eng</t>
        </is>
      </c>
      <c r="AX827" t="inlineStr">
        <is>
          <t>27212369</t>
        </is>
      </c>
      <c r="AY827" t="inlineStr">
        <is>
          <t>991001509769702656</t>
        </is>
      </c>
      <c r="AZ827" t="inlineStr">
        <is>
          <t>991001509769702656</t>
        </is>
      </c>
      <c r="BA827" t="inlineStr">
        <is>
          <t>2270319280002656</t>
        </is>
      </c>
      <c r="BB827" t="inlineStr">
        <is>
          <t>BOOK</t>
        </is>
      </c>
      <c r="BE827" t="inlineStr">
        <is>
          <t>30001002600585</t>
        </is>
      </c>
      <c r="BF827" t="inlineStr">
        <is>
          <t>893162093</t>
        </is>
      </c>
    </row>
    <row r="828">
      <c r="A828" t="inlineStr">
        <is>
          <t>No</t>
        </is>
      </c>
      <c r="B828" t="inlineStr">
        <is>
          <t>CUHSL</t>
        </is>
      </c>
      <c r="C828" t="inlineStr">
        <is>
          <t>SHELVES</t>
        </is>
      </c>
      <c r="D828" t="inlineStr">
        <is>
          <t>W 84.1 A549h 1989</t>
        </is>
      </c>
      <c r="E828" t="inlineStr">
        <is>
          <t>0                      W  0084100A  549h        1989</t>
        </is>
      </c>
      <c r="F828" t="inlineStr">
        <is>
          <t>The health services continuum in democratic states : an inquiry into solvable problems / Odin W. Anderson.</t>
        </is>
      </c>
      <c r="H828" t="inlineStr">
        <is>
          <t>No</t>
        </is>
      </c>
      <c r="I828" t="inlineStr">
        <is>
          <t>1</t>
        </is>
      </c>
      <c r="J828" t="inlineStr">
        <is>
          <t>No</t>
        </is>
      </c>
      <c r="K828" t="inlineStr">
        <is>
          <t>No</t>
        </is>
      </c>
      <c r="L828" t="inlineStr">
        <is>
          <t>0</t>
        </is>
      </c>
      <c r="M828" t="inlineStr">
        <is>
          <t>Anderson, Odin W. (Odin Waldemar), 1914-2003.</t>
        </is>
      </c>
      <c r="N828" t="inlineStr">
        <is>
          <t>Ann Arbor, Mich. : Health Administration Press, c1989.</t>
        </is>
      </c>
      <c r="O828" t="inlineStr">
        <is>
          <t>1989</t>
        </is>
      </c>
      <c r="Q828" t="inlineStr">
        <is>
          <t>eng</t>
        </is>
      </c>
      <c r="R828" t="inlineStr">
        <is>
          <t>xxu</t>
        </is>
      </c>
      <c r="T828" t="inlineStr">
        <is>
          <t xml:space="preserve">W  </t>
        </is>
      </c>
      <c r="U828" t="n">
        <v>3</v>
      </c>
      <c r="V828" t="n">
        <v>3</v>
      </c>
      <c r="W828" t="inlineStr">
        <is>
          <t>1994-02-28</t>
        </is>
      </c>
      <c r="X828" t="inlineStr">
        <is>
          <t>1994-02-28</t>
        </is>
      </c>
      <c r="Y828" t="inlineStr">
        <is>
          <t>1990-01-11</t>
        </is>
      </c>
      <c r="Z828" t="inlineStr">
        <is>
          <t>1990-01-11</t>
        </is>
      </c>
      <c r="AA828" t="n">
        <v>196</v>
      </c>
      <c r="AB828" t="n">
        <v>178</v>
      </c>
      <c r="AC828" t="n">
        <v>183</v>
      </c>
      <c r="AD828" t="n">
        <v>1</v>
      </c>
      <c r="AE828" t="n">
        <v>1</v>
      </c>
      <c r="AF828" t="n">
        <v>11</v>
      </c>
      <c r="AG828" t="n">
        <v>11</v>
      </c>
      <c r="AH828" t="n">
        <v>3</v>
      </c>
      <c r="AI828" t="n">
        <v>3</v>
      </c>
      <c r="AJ828" t="n">
        <v>1</v>
      </c>
      <c r="AK828" t="n">
        <v>1</v>
      </c>
      <c r="AL828" t="n">
        <v>3</v>
      </c>
      <c r="AM828" t="n">
        <v>3</v>
      </c>
      <c r="AN828" t="n">
        <v>0</v>
      </c>
      <c r="AO828" t="n">
        <v>0</v>
      </c>
      <c r="AP828" t="n">
        <v>5</v>
      </c>
      <c r="AQ828" t="n">
        <v>5</v>
      </c>
      <c r="AR828" t="inlineStr">
        <is>
          <t>No</t>
        </is>
      </c>
      <c r="AS828" t="inlineStr">
        <is>
          <t>No</t>
        </is>
      </c>
      <c r="AU828">
        <f>HYPERLINK("https://creighton-primo.hosted.exlibrisgroup.com/primo-explore/search?tab=default_tab&amp;search_scope=EVERYTHING&amp;vid=01CRU&amp;lang=en_US&amp;offset=0&amp;query=any,contains,991001383309702656","Catalog Record")</f>
        <v/>
      </c>
      <c r="AV828">
        <f>HYPERLINK("http://www.worldcat.org/oclc/19814503","WorldCat Record")</f>
        <v/>
      </c>
      <c r="AW828" t="inlineStr">
        <is>
          <t>2762070846:eng</t>
        </is>
      </c>
      <c r="AX828" t="inlineStr">
        <is>
          <t>19814503</t>
        </is>
      </c>
      <c r="AY828" t="inlineStr">
        <is>
          <t>991001383309702656</t>
        </is>
      </c>
      <c r="AZ828" t="inlineStr">
        <is>
          <t>991001383309702656</t>
        </is>
      </c>
      <c r="BA828" t="inlineStr">
        <is>
          <t>2264669980002656</t>
        </is>
      </c>
      <c r="BB828" t="inlineStr">
        <is>
          <t>BOOK</t>
        </is>
      </c>
      <c r="BD828" t="inlineStr">
        <is>
          <t>9780910701068</t>
        </is>
      </c>
      <c r="BE828" t="inlineStr">
        <is>
          <t>30001001799198</t>
        </is>
      </c>
      <c r="BF828" t="inlineStr">
        <is>
          <t>893161924</t>
        </is>
      </c>
    </row>
    <row r="829">
      <c r="A829" t="inlineStr">
        <is>
          <t>No</t>
        </is>
      </c>
      <c r="B829" t="inlineStr">
        <is>
          <t>CUHSL</t>
        </is>
      </c>
      <c r="C829" t="inlineStr">
        <is>
          <t>SHELVES</t>
        </is>
      </c>
      <c r="D829" t="inlineStr">
        <is>
          <t>W 84.1 B219h 1993</t>
        </is>
      </c>
      <c r="E829" t="inlineStr">
        <is>
          <t>0                      W  0084100B  219h        1993</t>
        </is>
      </c>
      <c r="F829" t="inlineStr">
        <is>
          <t>Health care technology and its assessment : an international perspective / H. David Banta and Bryan R. Luce.</t>
        </is>
      </c>
      <c r="H829" t="inlineStr">
        <is>
          <t>No</t>
        </is>
      </c>
      <c r="I829" t="inlineStr">
        <is>
          <t>1</t>
        </is>
      </c>
      <c r="J829" t="inlineStr">
        <is>
          <t>No</t>
        </is>
      </c>
      <c r="K829" t="inlineStr">
        <is>
          <t>No</t>
        </is>
      </c>
      <c r="L829" t="inlineStr">
        <is>
          <t>0</t>
        </is>
      </c>
      <c r="M829" t="inlineStr">
        <is>
          <t>Banta, H. David (Henry David), 1938-</t>
        </is>
      </c>
      <c r="N829" t="inlineStr">
        <is>
          <t>Oxford ; New York : Oxford University Press, c1993.</t>
        </is>
      </c>
      <c r="O829" t="inlineStr">
        <is>
          <t>1993</t>
        </is>
      </c>
      <c r="Q829" t="inlineStr">
        <is>
          <t>eng</t>
        </is>
      </c>
      <c r="R829" t="inlineStr">
        <is>
          <t>enk</t>
        </is>
      </c>
      <c r="T829" t="inlineStr">
        <is>
          <t xml:space="preserve">W  </t>
        </is>
      </c>
      <c r="U829" t="n">
        <v>6</v>
      </c>
      <c r="V829" t="n">
        <v>6</v>
      </c>
      <c r="W829" t="inlineStr">
        <is>
          <t>1999-07-06</t>
        </is>
      </c>
      <c r="X829" t="inlineStr">
        <is>
          <t>1999-07-06</t>
        </is>
      </c>
      <c r="Y829" t="inlineStr">
        <is>
          <t>1993-12-15</t>
        </is>
      </c>
      <c r="Z829" t="inlineStr">
        <is>
          <t>1993-12-15</t>
        </is>
      </c>
      <c r="AA829" t="n">
        <v>162</v>
      </c>
      <c r="AB829" t="n">
        <v>112</v>
      </c>
      <c r="AC829" t="n">
        <v>113</v>
      </c>
      <c r="AD829" t="n">
        <v>1</v>
      </c>
      <c r="AE829" t="n">
        <v>1</v>
      </c>
      <c r="AF829" t="n">
        <v>3</v>
      </c>
      <c r="AG829" t="n">
        <v>3</v>
      </c>
      <c r="AH829" t="n">
        <v>0</v>
      </c>
      <c r="AI829" t="n">
        <v>0</v>
      </c>
      <c r="AJ829" t="n">
        <v>2</v>
      </c>
      <c r="AK829" t="n">
        <v>2</v>
      </c>
      <c r="AL829" t="n">
        <v>2</v>
      </c>
      <c r="AM829" t="n">
        <v>2</v>
      </c>
      <c r="AN829" t="n">
        <v>0</v>
      </c>
      <c r="AO829" t="n">
        <v>0</v>
      </c>
      <c r="AP829" t="n">
        <v>0</v>
      </c>
      <c r="AQ829" t="n">
        <v>0</v>
      </c>
      <c r="AR829" t="inlineStr">
        <is>
          <t>No</t>
        </is>
      </c>
      <c r="AS829" t="inlineStr">
        <is>
          <t>No</t>
        </is>
      </c>
      <c r="AU829">
        <f>HYPERLINK("https://creighton-primo.hosted.exlibrisgroup.com/primo-explore/search?tab=default_tab&amp;search_scope=EVERYTHING&amp;vid=01CRU&amp;lang=en_US&amp;offset=0&amp;query=any,contains,991000646469702656","Catalog Record")</f>
        <v/>
      </c>
      <c r="AV829">
        <f>HYPERLINK("http://www.worldcat.org/oclc/27728640","WorldCat Record")</f>
        <v/>
      </c>
      <c r="AW829" t="inlineStr">
        <is>
          <t>836727343:eng</t>
        </is>
      </c>
      <c r="AX829" t="inlineStr">
        <is>
          <t>27728640</t>
        </is>
      </c>
      <c r="AY829" t="inlineStr">
        <is>
          <t>991000646469702656</t>
        </is>
      </c>
      <c r="AZ829" t="inlineStr">
        <is>
          <t>991000646469702656</t>
        </is>
      </c>
      <c r="BA829" t="inlineStr">
        <is>
          <t>2265921270002656</t>
        </is>
      </c>
      <c r="BB829" t="inlineStr">
        <is>
          <t>BOOK</t>
        </is>
      </c>
      <c r="BD829" t="inlineStr">
        <is>
          <t>9780192622976</t>
        </is>
      </c>
      <c r="BE829" t="inlineStr">
        <is>
          <t>30001002690396</t>
        </is>
      </c>
      <c r="BF829" t="inlineStr">
        <is>
          <t>893730836</t>
        </is>
      </c>
    </row>
    <row r="830">
      <c r="A830" t="inlineStr">
        <is>
          <t>No</t>
        </is>
      </c>
      <c r="B830" t="inlineStr">
        <is>
          <t>CUHSL</t>
        </is>
      </c>
      <c r="C830" t="inlineStr">
        <is>
          <t>SHELVES</t>
        </is>
      </c>
      <c r="D830" t="inlineStr">
        <is>
          <t>W 84.1 D225e 1987</t>
        </is>
      </c>
      <c r="E830" t="inlineStr">
        <is>
          <t>0                      W  0084100D  225e        1987</t>
        </is>
      </c>
      <c r="F830" t="inlineStr">
        <is>
          <t>Ethics in health services management / Kurt Darr.</t>
        </is>
      </c>
      <c r="H830" t="inlineStr">
        <is>
          <t>No</t>
        </is>
      </c>
      <c r="I830" t="inlineStr">
        <is>
          <t>1</t>
        </is>
      </c>
      <c r="J830" t="inlineStr">
        <is>
          <t>No</t>
        </is>
      </c>
      <c r="K830" t="inlineStr">
        <is>
          <t>Yes</t>
        </is>
      </c>
      <c r="L830" t="inlineStr">
        <is>
          <t>0</t>
        </is>
      </c>
      <c r="M830" t="inlineStr">
        <is>
          <t>Darr, Kurt.</t>
        </is>
      </c>
      <c r="N830" t="inlineStr">
        <is>
          <t>New York : Praeger, c1987.</t>
        </is>
      </c>
      <c r="O830" t="inlineStr">
        <is>
          <t>1987</t>
        </is>
      </c>
      <c r="Q830" t="inlineStr">
        <is>
          <t>eng</t>
        </is>
      </c>
      <c r="R830" t="inlineStr">
        <is>
          <t>xxu</t>
        </is>
      </c>
      <c r="T830" t="inlineStr">
        <is>
          <t xml:space="preserve">W  </t>
        </is>
      </c>
      <c r="U830" t="n">
        <v>11</v>
      </c>
      <c r="V830" t="n">
        <v>11</v>
      </c>
      <c r="W830" t="inlineStr">
        <is>
          <t>2006-01-18</t>
        </is>
      </c>
      <c r="X830" t="inlineStr">
        <is>
          <t>2006-01-18</t>
        </is>
      </c>
      <c r="Y830" t="inlineStr">
        <is>
          <t>1988-05-17</t>
        </is>
      </c>
      <c r="Z830" t="inlineStr">
        <is>
          <t>1988-05-17</t>
        </is>
      </c>
      <c r="AA830" t="n">
        <v>305</v>
      </c>
      <c r="AB830" t="n">
        <v>260</v>
      </c>
      <c r="AC830" t="n">
        <v>769</v>
      </c>
      <c r="AD830" t="n">
        <v>2</v>
      </c>
      <c r="AE830" t="n">
        <v>6</v>
      </c>
      <c r="AF830" t="n">
        <v>12</v>
      </c>
      <c r="AG830" t="n">
        <v>37</v>
      </c>
      <c r="AH830" t="n">
        <v>1</v>
      </c>
      <c r="AI830" t="n">
        <v>16</v>
      </c>
      <c r="AJ830" t="n">
        <v>3</v>
      </c>
      <c r="AK830" t="n">
        <v>8</v>
      </c>
      <c r="AL830" t="n">
        <v>7</v>
      </c>
      <c r="AM830" t="n">
        <v>16</v>
      </c>
      <c r="AN830" t="n">
        <v>1</v>
      </c>
      <c r="AO830" t="n">
        <v>3</v>
      </c>
      <c r="AP830" t="n">
        <v>1</v>
      </c>
      <c r="AQ830" t="n">
        <v>3</v>
      </c>
      <c r="AR830" t="inlineStr">
        <is>
          <t>No</t>
        </is>
      </c>
      <c r="AS830" t="inlineStr">
        <is>
          <t>Yes</t>
        </is>
      </c>
      <c r="AT830">
        <f>HYPERLINK("http://catalog.hathitrust.org/Record/000832433","HathiTrust Record")</f>
        <v/>
      </c>
      <c r="AU830">
        <f>HYPERLINK("https://creighton-primo.hosted.exlibrisgroup.com/primo-explore/search?tab=default_tab&amp;search_scope=EVERYTHING&amp;vid=01CRU&amp;lang=en_US&amp;offset=0&amp;query=any,contains,991001191549702656","Catalog Record")</f>
        <v/>
      </c>
      <c r="AV830">
        <f>HYPERLINK("http://www.worldcat.org/oclc/15107372","WorldCat Record")</f>
        <v/>
      </c>
      <c r="AW830" t="inlineStr">
        <is>
          <t>1067623:eng</t>
        </is>
      </c>
      <c r="AX830" t="inlineStr">
        <is>
          <t>15107372</t>
        </is>
      </c>
      <c r="AY830" t="inlineStr">
        <is>
          <t>991001191549702656</t>
        </is>
      </c>
      <c r="AZ830" t="inlineStr">
        <is>
          <t>991001191549702656</t>
        </is>
      </c>
      <c r="BA830" t="inlineStr">
        <is>
          <t>2257937660002656</t>
        </is>
      </c>
      <c r="BB830" t="inlineStr">
        <is>
          <t>BOOK</t>
        </is>
      </c>
      <c r="BD830" t="inlineStr">
        <is>
          <t>9780275924447</t>
        </is>
      </c>
      <c r="BE830" t="inlineStr">
        <is>
          <t>30001000979437</t>
        </is>
      </c>
      <c r="BF830" t="inlineStr">
        <is>
          <t>893541103</t>
        </is>
      </c>
    </row>
    <row r="831">
      <c r="A831" t="inlineStr">
        <is>
          <t>No</t>
        </is>
      </c>
      <c r="B831" t="inlineStr">
        <is>
          <t>CUHSL</t>
        </is>
      </c>
      <c r="C831" t="inlineStr">
        <is>
          <t>SHELVES</t>
        </is>
      </c>
      <c r="D831" t="inlineStr">
        <is>
          <t>W84.1 D225e 2005</t>
        </is>
      </c>
      <c r="E831" t="inlineStr">
        <is>
          <t>0                      W  0084100D  225e        2005</t>
        </is>
      </c>
      <c r="F831" t="inlineStr">
        <is>
          <t>Ethics in health services management / by Kurt Darr.</t>
        </is>
      </c>
      <c r="H831" t="inlineStr">
        <is>
          <t>No</t>
        </is>
      </c>
      <c r="I831" t="inlineStr">
        <is>
          <t>1</t>
        </is>
      </c>
      <c r="J831" t="inlineStr">
        <is>
          <t>No</t>
        </is>
      </c>
      <c r="K831" t="inlineStr">
        <is>
          <t>Yes</t>
        </is>
      </c>
      <c r="L831" t="inlineStr">
        <is>
          <t>0</t>
        </is>
      </c>
      <c r="M831" t="inlineStr">
        <is>
          <t>Darr, Kurt.</t>
        </is>
      </c>
      <c r="N831" t="inlineStr">
        <is>
          <t>Baltimore : Health Professions Press, c2005.</t>
        </is>
      </c>
      <c r="O831" t="inlineStr">
        <is>
          <t>2005</t>
        </is>
      </c>
      <c r="P831" t="inlineStr">
        <is>
          <t>4th ed.</t>
        </is>
      </c>
      <c r="Q831" t="inlineStr">
        <is>
          <t>eng</t>
        </is>
      </c>
      <c r="R831" t="inlineStr">
        <is>
          <t>mdu</t>
        </is>
      </c>
      <c r="T831" t="inlineStr">
        <is>
          <t xml:space="preserve">W  </t>
        </is>
      </c>
      <c r="U831" t="n">
        <v>5</v>
      </c>
      <c r="V831" t="n">
        <v>5</v>
      </c>
      <c r="W831" t="inlineStr">
        <is>
          <t>2010-06-21</t>
        </is>
      </c>
      <c r="X831" t="inlineStr">
        <is>
          <t>2010-06-21</t>
        </is>
      </c>
      <c r="Y831" t="inlineStr">
        <is>
          <t>2005-03-14</t>
        </is>
      </c>
      <c r="Z831" t="inlineStr">
        <is>
          <t>2005-03-14</t>
        </is>
      </c>
      <c r="AA831" t="n">
        <v>361</v>
      </c>
      <c r="AB831" t="n">
        <v>296</v>
      </c>
      <c r="AC831" t="n">
        <v>769</v>
      </c>
      <c r="AD831" t="n">
        <v>2</v>
      </c>
      <c r="AE831" t="n">
        <v>6</v>
      </c>
      <c r="AF831" t="n">
        <v>14</v>
      </c>
      <c r="AG831" t="n">
        <v>37</v>
      </c>
      <c r="AH831" t="n">
        <v>6</v>
      </c>
      <c r="AI831" t="n">
        <v>16</v>
      </c>
      <c r="AJ831" t="n">
        <v>4</v>
      </c>
      <c r="AK831" t="n">
        <v>8</v>
      </c>
      <c r="AL831" t="n">
        <v>6</v>
      </c>
      <c r="AM831" t="n">
        <v>16</v>
      </c>
      <c r="AN831" t="n">
        <v>0</v>
      </c>
      <c r="AO831" t="n">
        <v>3</v>
      </c>
      <c r="AP831" t="n">
        <v>1</v>
      </c>
      <c r="AQ831" t="n">
        <v>3</v>
      </c>
      <c r="AR831" t="inlineStr">
        <is>
          <t>No</t>
        </is>
      </c>
      <c r="AS831" t="inlineStr">
        <is>
          <t>Yes</t>
        </is>
      </c>
      <c r="AT831">
        <f>HYPERLINK("http://catalog.hathitrust.org/Record/004930146","HathiTrust Record")</f>
        <v/>
      </c>
      <c r="AU831">
        <f>HYPERLINK("https://creighton-primo.hosted.exlibrisgroup.com/primo-explore/search?tab=default_tab&amp;search_scope=EVERYTHING&amp;vid=01CRU&amp;lang=en_US&amp;offset=0&amp;query=any,contains,991000432579702656","Catalog Record")</f>
        <v/>
      </c>
      <c r="AV831">
        <f>HYPERLINK("http://www.worldcat.org/oclc/55738858","WorldCat Record")</f>
        <v/>
      </c>
      <c r="AW831" t="inlineStr">
        <is>
          <t>1067623:eng</t>
        </is>
      </c>
      <c r="AX831" t="inlineStr">
        <is>
          <t>55738858</t>
        </is>
      </c>
      <c r="AY831" t="inlineStr">
        <is>
          <t>991000432579702656</t>
        </is>
      </c>
      <c r="AZ831" t="inlineStr">
        <is>
          <t>991000432579702656</t>
        </is>
      </c>
      <c r="BA831" t="inlineStr">
        <is>
          <t>2270737990002656</t>
        </is>
      </c>
      <c r="BB831" t="inlineStr">
        <is>
          <t>BOOK</t>
        </is>
      </c>
      <c r="BD831" t="inlineStr">
        <is>
          <t>9781878812995</t>
        </is>
      </c>
      <c r="BE831" t="inlineStr">
        <is>
          <t>30001004928505</t>
        </is>
      </c>
      <c r="BF831" t="inlineStr">
        <is>
          <t>893456716</t>
        </is>
      </c>
    </row>
    <row r="832">
      <c r="A832" t="inlineStr">
        <is>
          <t>No</t>
        </is>
      </c>
      <c r="B832" t="inlineStr">
        <is>
          <t>CUHSL</t>
        </is>
      </c>
      <c r="C832" t="inlineStr">
        <is>
          <t>SHELVES</t>
        </is>
      </c>
      <c r="D832" t="inlineStr">
        <is>
          <t>W 84.1 D2938 2001</t>
        </is>
      </c>
      <c r="E832" t="inlineStr">
        <is>
          <t>0                      W  0084100D  2938        2001</t>
        </is>
      </c>
      <c r="F832" t="inlineStr">
        <is>
          <t>Decision making in health and medicine : integrating evidence and values / M.G. Myriam Hunink ... [et al.].</t>
        </is>
      </c>
      <c r="H832" t="inlineStr">
        <is>
          <t>No</t>
        </is>
      </c>
      <c r="I832" t="inlineStr">
        <is>
          <t>1</t>
        </is>
      </c>
      <c r="J832" t="inlineStr">
        <is>
          <t>No</t>
        </is>
      </c>
      <c r="K832" t="inlineStr">
        <is>
          <t>No</t>
        </is>
      </c>
      <c r="L832" t="inlineStr">
        <is>
          <t>0</t>
        </is>
      </c>
      <c r="N832" t="inlineStr">
        <is>
          <t>Cambridge ; New York : Cambridge University Press, 2001.</t>
        </is>
      </c>
      <c r="O832" t="inlineStr">
        <is>
          <t>2001</t>
        </is>
      </c>
      <c r="Q832" t="inlineStr">
        <is>
          <t>eng</t>
        </is>
      </c>
      <c r="R832" t="inlineStr">
        <is>
          <t>enk</t>
        </is>
      </c>
      <c r="T832" t="inlineStr">
        <is>
          <t xml:space="preserve">W  </t>
        </is>
      </c>
      <c r="U832" t="n">
        <v>2</v>
      </c>
      <c r="V832" t="n">
        <v>2</v>
      </c>
      <c r="W832" t="inlineStr">
        <is>
          <t>2005-04-08</t>
        </is>
      </c>
      <c r="X832" t="inlineStr">
        <is>
          <t>2005-04-08</t>
        </is>
      </c>
      <c r="Y832" t="inlineStr">
        <is>
          <t>2003-10-17</t>
        </is>
      </c>
      <c r="Z832" t="inlineStr">
        <is>
          <t>2003-10-17</t>
        </is>
      </c>
      <c r="AA832" t="n">
        <v>237</v>
      </c>
      <c r="AB832" t="n">
        <v>126</v>
      </c>
      <c r="AC832" t="n">
        <v>171</v>
      </c>
      <c r="AD832" t="n">
        <v>1</v>
      </c>
      <c r="AE832" t="n">
        <v>2</v>
      </c>
      <c r="AF832" t="n">
        <v>7</v>
      </c>
      <c r="AG832" t="n">
        <v>10</v>
      </c>
      <c r="AH832" t="n">
        <v>3</v>
      </c>
      <c r="AI832" t="n">
        <v>4</v>
      </c>
      <c r="AJ832" t="n">
        <v>1</v>
      </c>
      <c r="AK832" t="n">
        <v>2</v>
      </c>
      <c r="AL832" t="n">
        <v>4</v>
      </c>
      <c r="AM832" t="n">
        <v>6</v>
      </c>
      <c r="AN832" t="n">
        <v>0</v>
      </c>
      <c r="AO832" t="n">
        <v>1</v>
      </c>
      <c r="AP832" t="n">
        <v>0</v>
      </c>
      <c r="AQ832" t="n">
        <v>0</v>
      </c>
      <c r="AR832" t="inlineStr">
        <is>
          <t>No</t>
        </is>
      </c>
      <c r="AS832" t="inlineStr">
        <is>
          <t>No</t>
        </is>
      </c>
      <c r="AU832">
        <f>HYPERLINK("https://creighton-primo.hosted.exlibrisgroup.com/primo-explore/search?tab=default_tab&amp;search_scope=EVERYTHING&amp;vid=01CRU&amp;lang=en_US&amp;offset=0&amp;query=any,contains,991000358789702656","Catalog Record")</f>
        <v/>
      </c>
      <c r="AV832">
        <f>HYPERLINK("http://www.worldcat.org/oclc/46402451","WorldCat Record")</f>
        <v/>
      </c>
      <c r="AW832" t="inlineStr">
        <is>
          <t>795354110:eng</t>
        </is>
      </c>
      <c r="AX832" t="inlineStr">
        <is>
          <t>46402451</t>
        </is>
      </c>
      <c r="AY832" t="inlineStr">
        <is>
          <t>991000358789702656</t>
        </is>
      </c>
      <c r="AZ832" t="inlineStr">
        <is>
          <t>991000358789702656</t>
        </is>
      </c>
      <c r="BA832" t="inlineStr">
        <is>
          <t>2263720810002656</t>
        </is>
      </c>
      <c r="BB832" t="inlineStr">
        <is>
          <t>BOOK</t>
        </is>
      </c>
      <c r="BD832" t="inlineStr">
        <is>
          <t>9780521770293</t>
        </is>
      </c>
      <c r="BE832" t="inlineStr">
        <is>
          <t>30001004218097</t>
        </is>
      </c>
      <c r="BF832" t="inlineStr">
        <is>
          <t>893359502</t>
        </is>
      </c>
    </row>
    <row r="833">
      <c r="A833" t="inlineStr">
        <is>
          <t>No</t>
        </is>
      </c>
      <c r="B833" t="inlineStr">
        <is>
          <t>CUHSL</t>
        </is>
      </c>
      <c r="C833" t="inlineStr">
        <is>
          <t>SHELVES</t>
        </is>
      </c>
      <c r="D833" t="inlineStr">
        <is>
          <t>W 84.1 F263 1994 v.1</t>
        </is>
      </c>
      <c r="E833" t="inlineStr">
        <is>
          <t>0                      W  0084100F  263         1994                                        v.1</t>
        </is>
      </c>
      <c r="F833" t="inlineStr">
        <is>
          <t>Clinical practice improvement : a new technology for developing cost-effective quality health care / editors, Susan D. Horn and David S.P. Hopkins.</t>
        </is>
      </c>
      <c r="G833" t="inlineStr">
        <is>
          <t>V. 1</t>
        </is>
      </c>
      <c r="H833" t="inlineStr">
        <is>
          <t>No</t>
        </is>
      </c>
      <c r="I833" t="inlineStr">
        <is>
          <t>1</t>
        </is>
      </c>
      <c r="J833" t="inlineStr">
        <is>
          <t>No</t>
        </is>
      </c>
      <c r="K833" t="inlineStr">
        <is>
          <t>No</t>
        </is>
      </c>
      <c r="L833" t="inlineStr">
        <is>
          <t>0</t>
        </is>
      </c>
      <c r="N833" t="inlineStr">
        <is>
          <t>New York, NY : Faulkner &amp; Gray, c1994.</t>
        </is>
      </c>
      <c r="O833" t="inlineStr">
        <is>
          <t>1994</t>
        </is>
      </c>
      <c r="Q833" t="inlineStr">
        <is>
          <t>eng</t>
        </is>
      </c>
      <c r="R833" t="inlineStr">
        <is>
          <t>nyu</t>
        </is>
      </c>
      <c r="S833" t="inlineStr">
        <is>
          <t>Faulkner &amp; Gray's medical outcomes and practice guidelines library ; v. 1</t>
        </is>
      </c>
      <c r="T833" t="inlineStr">
        <is>
          <t xml:space="preserve">W  </t>
        </is>
      </c>
      <c r="U833" t="n">
        <v>2</v>
      </c>
      <c r="V833" t="n">
        <v>2</v>
      </c>
      <c r="W833" t="inlineStr">
        <is>
          <t>2010-02-04</t>
        </is>
      </c>
      <c r="X833" t="inlineStr">
        <is>
          <t>2010-02-04</t>
        </is>
      </c>
      <c r="Y833" t="inlineStr">
        <is>
          <t>1996-09-03</t>
        </is>
      </c>
      <c r="Z833" t="inlineStr">
        <is>
          <t>1996-09-03</t>
        </is>
      </c>
      <c r="AA833" t="n">
        <v>54</v>
      </c>
      <c r="AB833" t="n">
        <v>51</v>
      </c>
      <c r="AC833" t="n">
        <v>51</v>
      </c>
      <c r="AD833" t="n">
        <v>1</v>
      </c>
      <c r="AE833" t="n">
        <v>1</v>
      </c>
      <c r="AF833" t="n">
        <v>2</v>
      </c>
      <c r="AG833" t="n">
        <v>2</v>
      </c>
      <c r="AH833" t="n">
        <v>2</v>
      </c>
      <c r="AI833" t="n">
        <v>2</v>
      </c>
      <c r="AJ833" t="n">
        <v>0</v>
      </c>
      <c r="AK833" t="n">
        <v>0</v>
      </c>
      <c r="AL833" t="n">
        <v>2</v>
      </c>
      <c r="AM833" t="n">
        <v>2</v>
      </c>
      <c r="AN833" t="n">
        <v>0</v>
      </c>
      <c r="AO833" t="n">
        <v>0</v>
      </c>
      <c r="AP833" t="n">
        <v>0</v>
      </c>
      <c r="AQ833" t="n">
        <v>0</v>
      </c>
      <c r="AR833" t="inlineStr">
        <is>
          <t>No</t>
        </is>
      </c>
      <c r="AS833" t="inlineStr">
        <is>
          <t>No</t>
        </is>
      </c>
      <c r="AU833">
        <f>HYPERLINK("https://creighton-primo.hosted.exlibrisgroup.com/primo-explore/search?tab=default_tab&amp;search_scope=EVERYTHING&amp;vid=01CRU&amp;lang=en_US&amp;offset=0&amp;query=any,contains,991000835249702656","Catalog Record")</f>
        <v/>
      </c>
      <c r="AV833">
        <f>HYPERLINK("http://www.worldcat.org/oclc/30992807","WorldCat Record")</f>
        <v/>
      </c>
      <c r="AW833" t="inlineStr">
        <is>
          <t>33395801:eng</t>
        </is>
      </c>
      <c r="AX833" t="inlineStr">
        <is>
          <t>30992807</t>
        </is>
      </c>
      <c r="AY833" t="inlineStr">
        <is>
          <t>991000835249702656</t>
        </is>
      </c>
      <c r="AZ833" t="inlineStr">
        <is>
          <t>991000835249702656</t>
        </is>
      </c>
      <c r="BA833" t="inlineStr">
        <is>
          <t>2257669390002656</t>
        </is>
      </c>
      <c r="BB833" t="inlineStr">
        <is>
          <t>BOOK</t>
        </is>
      </c>
      <c r="BD833" t="inlineStr">
        <is>
          <t>9781881393252</t>
        </is>
      </c>
      <c r="BE833" t="inlineStr">
        <is>
          <t>30001003441518</t>
        </is>
      </c>
      <c r="BF833" t="inlineStr">
        <is>
          <t>893648452</t>
        </is>
      </c>
    </row>
    <row r="834">
      <c r="A834" t="inlineStr">
        <is>
          <t>No</t>
        </is>
      </c>
      <c r="B834" t="inlineStr">
        <is>
          <t>CUHSL</t>
        </is>
      </c>
      <c r="C834" t="inlineStr">
        <is>
          <t>SHELVES</t>
        </is>
      </c>
      <c r="D834" t="inlineStr">
        <is>
          <t>W84.1 F761a 2002</t>
        </is>
      </c>
      <c r="E834" t="inlineStr">
        <is>
          <t>0                      W  0084100F  761a        2002</t>
        </is>
      </c>
      <c r="F834" t="inlineStr">
        <is>
          <t>Achieving service excellence : strategies for healthcare / Myron D. Fottler, Robert C. Ford, Cherrill Heaton.</t>
        </is>
      </c>
      <c r="H834" t="inlineStr">
        <is>
          <t>No</t>
        </is>
      </c>
      <c r="I834" t="inlineStr">
        <is>
          <t>1</t>
        </is>
      </c>
      <c r="J834" t="inlineStr">
        <is>
          <t>No</t>
        </is>
      </c>
      <c r="K834" t="inlineStr">
        <is>
          <t>No</t>
        </is>
      </c>
      <c r="L834" t="inlineStr">
        <is>
          <t>1</t>
        </is>
      </c>
      <c r="M834" t="inlineStr">
        <is>
          <t>Fottler, Myron D.</t>
        </is>
      </c>
      <c r="N834" t="inlineStr">
        <is>
          <t>Chicago : Health Administration Press, C2002.</t>
        </is>
      </c>
      <c r="O834" t="inlineStr">
        <is>
          <t>2002</t>
        </is>
      </c>
      <c r="Q834" t="inlineStr">
        <is>
          <t>eng</t>
        </is>
      </c>
      <c r="R834" t="inlineStr">
        <is>
          <t>ilu</t>
        </is>
      </c>
      <c r="T834" t="inlineStr">
        <is>
          <t xml:space="preserve">W  </t>
        </is>
      </c>
      <c r="U834" t="n">
        <v>2</v>
      </c>
      <c r="V834" t="n">
        <v>2</v>
      </c>
      <c r="W834" t="inlineStr">
        <is>
          <t>2010-03-31</t>
        </is>
      </c>
      <c r="X834" t="inlineStr">
        <is>
          <t>2010-03-31</t>
        </is>
      </c>
      <c r="Y834" t="inlineStr">
        <is>
          <t>2003-06-11</t>
        </is>
      </c>
      <c r="Z834" t="inlineStr">
        <is>
          <t>2003-06-11</t>
        </is>
      </c>
      <c r="AA834" t="n">
        <v>102</v>
      </c>
      <c r="AB834" t="n">
        <v>93</v>
      </c>
      <c r="AC834" t="n">
        <v>1400</v>
      </c>
      <c r="AD834" t="n">
        <v>1</v>
      </c>
      <c r="AE834" t="n">
        <v>33</v>
      </c>
      <c r="AF834" t="n">
        <v>3</v>
      </c>
      <c r="AG834" t="n">
        <v>44</v>
      </c>
      <c r="AH834" t="n">
        <v>0</v>
      </c>
      <c r="AI834" t="n">
        <v>11</v>
      </c>
      <c r="AJ834" t="n">
        <v>2</v>
      </c>
      <c r="AK834" t="n">
        <v>8</v>
      </c>
      <c r="AL834" t="n">
        <v>3</v>
      </c>
      <c r="AM834" t="n">
        <v>14</v>
      </c>
      <c r="AN834" t="n">
        <v>0</v>
      </c>
      <c r="AO834" t="n">
        <v>17</v>
      </c>
      <c r="AP834" t="n">
        <v>0</v>
      </c>
      <c r="AQ834" t="n">
        <v>1</v>
      </c>
      <c r="AR834" t="inlineStr">
        <is>
          <t>No</t>
        </is>
      </c>
      <c r="AS834" t="inlineStr">
        <is>
          <t>Yes</t>
        </is>
      </c>
      <c r="AT834">
        <f>HYPERLINK("http://catalog.hathitrust.org/Record/004598320","HathiTrust Record")</f>
        <v/>
      </c>
      <c r="AU834">
        <f>HYPERLINK("https://creighton-primo.hosted.exlibrisgroup.com/primo-explore/search?tab=default_tab&amp;search_scope=EVERYTHING&amp;vid=01CRU&amp;lang=en_US&amp;offset=0&amp;query=any,contains,991000350029702656","Catalog Record")</f>
        <v/>
      </c>
      <c r="AV834">
        <f>HYPERLINK("http://www.worldcat.org/oclc/49711637","WorldCat Record")</f>
        <v/>
      </c>
      <c r="AW834" t="inlineStr">
        <is>
          <t>797260006:eng</t>
        </is>
      </c>
      <c r="AX834" t="inlineStr">
        <is>
          <t>49711637</t>
        </is>
      </c>
      <c r="AY834" t="inlineStr">
        <is>
          <t>991000350029702656</t>
        </is>
      </c>
      <c r="AZ834" t="inlineStr">
        <is>
          <t>991000350029702656</t>
        </is>
      </c>
      <c r="BA834" t="inlineStr">
        <is>
          <t>2268437520002656</t>
        </is>
      </c>
      <c r="BB834" t="inlineStr">
        <is>
          <t>BOOK</t>
        </is>
      </c>
      <c r="BD834" t="inlineStr">
        <is>
          <t>9781567931907</t>
        </is>
      </c>
      <c r="BE834" t="inlineStr">
        <is>
          <t>30001004504595</t>
        </is>
      </c>
      <c r="BF834" t="inlineStr">
        <is>
          <t>893365362</t>
        </is>
      </c>
    </row>
    <row r="835">
      <c r="A835" t="inlineStr">
        <is>
          <t>No</t>
        </is>
      </c>
      <c r="B835" t="inlineStr">
        <is>
          <t>CUHSL</t>
        </is>
      </c>
      <c r="C835" t="inlineStr">
        <is>
          <t>SHELVES</t>
        </is>
      </c>
      <c r="D835" t="inlineStr">
        <is>
          <t>W 84.1 G489q 1999</t>
        </is>
      </c>
      <c r="E835" t="inlineStr">
        <is>
          <t>0                      W  0084100G  489q        1999</t>
        </is>
      </c>
      <c r="F835" t="inlineStr">
        <is>
          <t>Quality improvement projects in health care : problem solving in the workplace / by Eleanor Gilpatrick.</t>
        </is>
      </c>
      <c r="H835" t="inlineStr">
        <is>
          <t>No</t>
        </is>
      </c>
      <c r="I835" t="inlineStr">
        <is>
          <t>1</t>
        </is>
      </c>
      <c r="J835" t="inlineStr">
        <is>
          <t>No</t>
        </is>
      </c>
      <c r="K835" t="inlineStr">
        <is>
          <t>No</t>
        </is>
      </c>
      <c r="L835" t="inlineStr">
        <is>
          <t>1</t>
        </is>
      </c>
      <c r="M835" t="inlineStr">
        <is>
          <t>Gilpatrick, Eleanor G.</t>
        </is>
      </c>
      <c r="N835" t="inlineStr">
        <is>
          <t>Thousand Oaks, Calif. : Sage Publications, c1999.</t>
        </is>
      </c>
      <c r="O835" t="inlineStr">
        <is>
          <t>1999</t>
        </is>
      </c>
      <c r="Q835" t="inlineStr">
        <is>
          <t>eng</t>
        </is>
      </c>
      <c r="R835" t="inlineStr">
        <is>
          <t>cau</t>
        </is>
      </c>
      <c r="T835" t="inlineStr">
        <is>
          <t xml:space="preserve">W  </t>
        </is>
      </c>
      <c r="U835" t="n">
        <v>4</v>
      </c>
      <c r="V835" t="n">
        <v>4</v>
      </c>
      <c r="W835" t="inlineStr">
        <is>
          <t>2007-03-13</t>
        </is>
      </c>
      <c r="X835" t="inlineStr">
        <is>
          <t>2007-03-13</t>
        </is>
      </c>
      <c r="Y835" t="inlineStr">
        <is>
          <t>1999-08-13</t>
        </is>
      </c>
      <c r="Z835" t="inlineStr">
        <is>
          <t>1999-08-13</t>
        </is>
      </c>
      <c r="AA835" t="n">
        <v>179</v>
      </c>
      <c r="AB835" t="n">
        <v>132</v>
      </c>
      <c r="AC835" t="n">
        <v>923</v>
      </c>
      <c r="AD835" t="n">
        <v>1</v>
      </c>
      <c r="AE835" t="n">
        <v>14</v>
      </c>
      <c r="AF835" t="n">
        <v>3</v>
      </c>
      <c r="AG835" t="n">
        <v>31</v>
      </c>
      <c r="AH835" t="n">
        <v>1</v>
      </c>
      <c r="AI835" t="n">
        <v>8</v>
      </c>
      <c r="AJ835" t="n">
        <v>1</v>
      </c>
      <c r="AK835" t="n">
        <v>6</v>
      </c>
      <c r="AL835" t="n">
        <v>2</v>
      </c>
      <c r="AM835" t="n">
        <v>9</v>
      </c>
      <c r="AN835" t="n">
        <v>0</v>
      </c>
      <c r="AO835" t="n">
        <v>12</v>
      </c>
      <c r="AP835" t="n">
        <v>0</v>
      </c>
      <c r="AQ835" t="n">
        <v>1</v>
      </c>
      <c r="AR835" t="inlineStr">
        <is>
          <t>No</t>
        </is>
      </c>
      <c r="AS835" t="inlineStr">
        <is>
          <t>No</t>
        </is>
      </c>
      <c r="AU835">
        <f>HYPERLINK("https://creighton-primo.hosted.exlibrisgroup.com/primo-explore/search?tab=default_tab&amp;search_scope=EVERYTHING&amp;vid=01CRU&amp;lang=en_US&amp;offset=0&amp;query=any,contains,991001573999702656","Catalog Record")</f>
        <v/>
      </c>
      <c r="AV835">
        <f>HYPERLINK("http://www.worldcat.org/oclc/39289824","WorldCat Record")</f>
        <v/>
      </c>
      <c r="AW835" t="inlineStr">
        <is>
          <t>42507938:eng</t>
        </is>
      </c>
      <c r="AX835" t="inlineStr">
        <is>
          <t>39289824</t>
        </is>
      </c>
      <c r="AY835" t="inlineStr">
        <is>
          <t>991001573999702656</t>
        </is>
      </c>
      <c r="AZ835" t="inlineStr">
        <is>
          <t>991001573999702656</t>
        </is>
      </c>
      <c r="BA835" t="inlineStr">
        <is>
          <t>2271976730002656</t>
        </is>
      </c>
      <c r="BB835" t="inlineStr">
        <is>
          <t>BOOK</t>
        </is>
      </c>
      <c r="BD835" t="inlineStr">
        <is>
          <t>9780761911661</t>
        </is>
      </c>
      <c r="BE835" t="inlineStr">
        <is>
          <t>30001004011708</t>
        </is>
      </c>
      <c r="BF835" t="inlineStr">
        <is>
          <t>893149341</t>
        </is>
      </c>
    </row>
    <row r="836">
      <c r="A836" t="inlineStr">
        <is>
          <t>No</t>
        </is>
      </c>
      <c r="B836" t="inlineStr">
        <is>
          <t>CUHSL</t>
        </is>
      </c>
      <c r="C836" t="inlineStr">
        <is>
          <t>SHELVES</t>
        </is>
      </c>
      <c r="D836" t="inlineStr">
        <is>
          <t>W 84.1 G624h 1981</t>
        </is>
      </c>
      <c r="E836" t="inlineStr">
        <is>
          <t>0                      W  0084100G  624h        1981</t>
        </is>
      </c>
      <c r="F836" t="inlineStr">
        <is>
          <t>Health care management : a contemporary perspective / Seth B. Goldsmith.</t>
        </is>
      </c>
      <c r="H836" t="inlineStr">
        <is>
          <t>No</t>
        </is>
      </c>
      <c r="I836" t="inlineStr">
        <is>
          <t>1</t>
        </is>
      </c>
      <c r="J836" t="inlineStr">
        <is>
          <t>No</t>
        </is>
      </c>
      <c r="K836" t="inlineStr">
        <is>
          <t>No</t>
        </is>
      </c>
      <c r="L836" t="inlineStr">
        <is>
          <t>0</t>
        </is>
      </c>
      <c r="M836" t="inlineStr">
        <is>
          <t>Goldsmith, Seth B.</t>
        </is>
      </c>
      <c r="N836" t="inlineStr">
        <is>
          <t>Rockville, Md. : Aspen Systems Corp., c1981.</t>
        </is>
      </c>
      <c r="O836" t="inlineStr">
        <is>
          <t>1981</t>
        </is>
      </c>
      <c r="Q836" t="inlineStr">
        <is>
          <t>eng</t>
        </is>
      </c>
      <c r="R836" t="inlineStr">
        <is>
          <t>xxu</t>
        </is>
      </c>
      <c r="S836" t="inlineStr">
        <is>
          <t>Aspen publication</t>
        </is>
      </c>
      <c r="T836" t="inlineStr">
        <is>
          <t xml:space="preserve">W  </t>
        </is>
      </c>
      <c r="U836" t="n">
        <v>3</v>
      </c>
      <c r="V836" t="n">
        <v>3</v>
      </c>
      <c r="W836" t="inlineStr">
        <is>
          <t>1999-10-11</t>
        </is>
      </c>
      <c r="X836" t="inlineStr">
        <is>
          <t>1999-10-11</t>
        </is>
      </c>
      <c r="Y836" t="inlineStr">
        <is>
          <t>1987-12-22</t>
        </is>
      </c>
      <c r="Z836" t="inlineStr">
        <is>
          <t>1987-12-22</t>
        </is>
      </c>
      <c r="AA836" t="n">
        <v>301</v>
      </c>
      <c r="AB836" t="n">
        <v>276</v>
      </c>
      <c r="AC836" t="n">
        <v>282</v>
      </c>
      <c r="AD836" t="n">
        <v>1</v>
      </c>
      <c r="AE836" t="n">
        <v>1</v>
      </c>
      <c r="AF836" t="n">
        <v>9</v>
      </c>
      <c r="AG836" t="n">
        <v>9</v>
      </c>
      <c r="AH836" t="n">
        <v>5</v>
      </c>
      <c r="AI836" t="n">
        <v>5</v>
      </c>
      <c r="AJ836" t="n">
        <v>3</v>
      </c>
      <c r="AK836" t="n">
        <v>3</v>
      </c>
      <c r="AL836" t="n">
        <v>5</v>
      </c>
      <c r="AM836" t="n">
        <v>5</v>
      </c>
      <c r="AN836" t="n">
        <v>0</v>
      </c>
      <c r="AO836" t="n">
        <v>0</v>
      </c>
      <c r="AP836" t="n">
        <v>0</v>
      </c>
      <c r="AQ836" t="n">
        <v>0</v>
      </c>
      <c r="AR836" t="inlineStr">
        <is>
          <t>No</t>
        </is>
      </c>
      <c r="AS836" t="inlineStr">
        <is>
          <t>Yes</t>
        </is>
      </c>
      <c r="AT836">
        <f>HYPERLINK("http://catalog.hathitrust.org/Record/000223305","HathiTrust Record")</f>
        <v/>
      </c>
      <c r="AU836">
        <f>HYPERLINK("https://creighton-primo.hosted.exlibrisgroup.com/primo-explore/search?tab=default_tab&amp;search_scope=EVERYTHING&amp;vid=01CRU&amp;lang=en_US&amp;offset=0&amp;query=any,contains,991000658739702656","Catalog Record")</f>
        <v/>
      </c>
      <c r="AV836">
        <f>HYPERLINK("http://www.worldcat.org/oclc/6915052","WorldCat Record")</f>
        <v/>
      </c>
      <c r="AW836" t="inlineStr">
        <is>
          <t>252929895:eng</t>
        </is>
      </c>
      <c r="AX836" t="inlineStr">
        <is>
          <t>6915052</t>
        </is>
      </c>
      <c r="AY836" t="inlineStr">
        <is>
          <t>991000658739702656</t>
        </is>
      </c>
      <c r="AZ836" t="inlineStr">
        <is>
          <t>991000658739702656</t>
        </is>
      </c>
      <c r="BA836" t="inlineStr">
        <is>
          <t>2269348530002656</t>
        </is>
      </c>
      <c r="BB836" t="inlineStr">
        <is>
          <t>BOOK</t>
        </is>
      </c>
      <c r="BD836" t="inlineStr">
        <is>
          <t>9780894433368</t>
        </is>
      </c>
      <c r="BE836" t="inlineStr">
        <is>
          <t>30001000688285</t>
        </is>
      </c>
      <c r="BF836" t="inlineStr">
        <is>
          <t>893631766</t>
        </is>
      </c>
    </row>
    <row r="837">
      <c r="A837" t="inlineStr">
        <is>
          <t>No</t>
        </is>
      </c>
      <c r="B837" t="inlineStr">
        <is>
          <t>CUHSL</t>
        </is>
      </c>
      <c r="C837" t="inlineStr">
        <is>
          <t>SHELVES</t>
        </is>
      </c>
      <c r="D837" t="inlineStr">
        <is>
          <t>W 84.1 H241m 2004</t>
        </is>
      </c>
      <c r="E837" t="inlineStr">
        <is>
          <t>0                      W  0084100H  241m        2004</t>
        </is>
      </c>
      <c r="F837" t="inlineStr">
        <is>
          <t>Management accounting for health care organizations : tools and techniques for decision support / Robert W. Hankins, Judith J. Baker.</t>
        </is>
      </c>
      <c r="H837" t="inlineStr">
        <is>
          <t>No</t>
        </is>
      </c>
      <c r="I837" t="inlineStr">
        <is>
          <t>1</t>
        </is>
      </c>
      <c r="J837" t="inlineStr">
        <is>
          <t>No</t>
        </is>
      </c>
      <c r="K837" t="inlineStr">
        <is>
          <t>No</t>
        </is>
      </c>
      <c r="L837" t="inlineStr">
        <is>
          <t>0</t>
        </is>
      </c>
      <c r="M837" t="inlineStr">
        <is>
          <t>Hankins, Robert W.</t>
        </is>
      </c>
      <c r="N837" t="inlineStr">
        <is>
          <t>Sudbury, Mass. : Jones and Bartlett, c2004.</t>
        </is>
      </c>
      <c r="O837" t="inlineStr">
        <is>
          <t>2004</t>
        </is>
      </c>
      <c r="Q837" t="inlineStr">
        <is>
          <t>eng</t>
        </is>
      </c>
      <c r="R837" t="inlineStr">
        <is>
          <t>mau</t>
        </is>
      </c>
      <c r="T837" t="inlineStr">
        <is>
          <t xml:space="preserve">W  </t>
        </is>
      </c>
      <c r="U837" t="n">
        <v>1</v>
      </c>
      <c r="V837" t="n">
        <v>1</v>
      </c>
      <c r="W837" t="inlineStr">
        <is>
          <t>2004-11-16</t>
        </is>
      </c>
      <c r="X837" t="inlineStr">
        <is>
          <t>2004-11-16</t>
        </is>
      </c>
      <c r="Y837" t="inlineStr">
        <is>
          <t>2004-08-10</t>
        </is>
      </c>
      <c r="Z837" t="inlineStr">
        <is>
          <t>2004-08-10</t>
        </is>
      </c>
      <c r="AA837" t="n">
        <v>156</v>
      </c>
      <c r="AB837" t="n">
        <v>124</v>
      </c>
      <c r="AC837" t="n">
        <v>124</v>
      </c>
      <c r="AD837" t="n">
        <v>2</v>
      </c>
      <c r="AE837" t="n">
        <v>2</v>
      </c>
      <c r="AF837" t="n">
        <v>7</v>
      </c>
      <c r="AG837" t="n">
        <v>7</v>
      </c>
      <c r="AH837" t="n">
        <v>1</v>
      </c>
      <c r="AI837" t="n">
        <v>1</v>
      </c>
      <c r="AJ837" t="n">
        <v>3</v>
      </c>
      <c r="AK837" t="n">
        <v>3</v>
      </c>
      <c r="AL837" t="n">
        <v>4</v>
      </c>
      <c r="AM837" t="n">
        <v>4</v>
      </c>
      <c r="AN837" t="n">
        <v>1</v>
      </c>
      <c r="AO837" t="n">
        <v>1</v>
      </c>
      <c r="AP837" t="n">
        <v>0</v>
      </c>
      <c r="AQ837" t="n">
        <v>0</v>
      </c>
      <c r="AR837" t="inlineStr">
        <is>
          <t>No</t>
        </is>
      </c>
      <c r="AS837" t="inlineStr">
        <is>
          <t>No</t>
        </is>
      </c>
      <c r="AU837">
        <f>HYPERLINK("https://creighton-primo.hosted.exlibrisgroup.com/primo-explore/search?tab=default_tab&amp;search_scope=EVERYTHING&amp;vid=01CRU&amp;lang=en_US&amp;offset=0&amp;query=any,contains,991000377099702656","Catalog Record")</f>
        <v/>
      </c>
      <c r="AV837">
        <f>HYPERLINK("http://www.worldcat.org/oclc/53926837","WorldCat Record")</f>
        <v/>
      </c>
      <c r="AW837" t="inlineStr">
        <is>
          <t>864148569:eng</t>
        </is>
      </c>
      <c r="AX837" t="inlineStr">
        <is>
          <t>53926837</t>
        </is>
      </c>
      <c r="AY837" t="inlineStr">
        <is>
          <t>991000377099702656</t>
        </is>
      </c>
      <c r="AZ837" t="inlineStr">
        <is>
          <t>991000377099702656</t>
        </is>
      </c>
      <c r="BA837" t="inlineStr">
        <is>
          <t>2266581450002656</t>
        </is>
      </c>
      <c r="BB837" t="inlineStr">
        <is>
          <t>BOOK</t>
        </is>
      </c>
      <c r="BD837" t="inlineStr">
        <is>
          <t>9780763732257</t>
        </is>
      </c>
      <c r="BE837" t="inlineStr">
        <is>
          <t>30001004445260</t>
        </is>
      </c>
      <c r="BF837" t="inlineStr">
        <is>
          <t>893150995</t>
        </is>
      </c>
    </row>
    <row r="838">
      <c r="A838" t="inlineStr">
        <is>
          <t>No</t>
        </is>
      </c>
      <c r="B838" t="inlineStr">
        <is>
          <t>CUHSL</t>
        </is>
      </c>
      <c r="C838" t="inlineStr">
        <is>
          <t>SHELVES</t>
        </is>
      </c>
      <c r="D838" t="inlineStr">
        <is>
          <t>W 84.1 H4365 1983</t>
        </is>
      </c>
      <c r="E838" t="inlineStr">
        <is>
          <t>0                      W  0084100H  4365        1983</t>
        </is>
      </c>
      <c r="F838" t="inlineStr">
        <is>
          <t>Health care ministry assessment : a basic accountability process for sponsors of Catholic health care facilities.</t>
        </is>
      </c>
      <c r="H838" t="inlineStr">
        <is>
          <t>No</t>
        </is>
      </c>
      <c r="I838" t="inlineStr">
        <is>
          <t>1</t>
        </is>
      </c>
      <c r="J838" t="inlineStr">
        <is>
          <t>No</t>
        </is>
      </c>
      <c r="K838" t="inlineStr">
        <is>
          <t>No</t>
        </is>
      </c>
      <c r="L838" t="inlineStr">
        <is>
          <t>0</t>
        </is>
      </c>
      <c r="N838" t="inlineStr">
        <is>
          <t>St. Louis, MO : Catholic Health Association of the United States, c1983.</t>
        </is>
      </c>
      <c r="O838" t="inlineStr">
        <is>
          <t>1983</t>
        </is>
      </c>
      <c r="Q838" t="inlineStr">
        <is>
          <t>eng</t>
        </is>
      </c>
      <c r="R838" t="inlineStr">
        <is>
          <t>xxu</t>
        </is>
      </c>
      <c r="T838" t="inlineStr">
        <is>
          <t xml:space="preserve">W  </t>
        </is>
      </c>
      <c r="U838" t="n">
        <v>5</v>
      </c>
      <c r="V838" t="n">
        <v>5</v>
      </c>
      <c r="W838" t="inlineStr">
        <is>
          <t>1998-11-12</t>
        </is>
      </c>
      <c r="X838" t="inlineStr">
        <is>
          <t>1998-11-12</t>
        </is>
      </c>
      <c r="Y838" t="inlineStr">
        <is>
          <t>1987-12-22</t>
        </is>
      </c>
      <c r="Z838" t="inlineStr">
        <is>
          <t>1987-12-22</t>
        </is>
      </c>
      <c r="AA838" t="n">
        <v>21</v>
      </c>
      <c r="AB838" t="n">
        <v>20</v>
      </c>
      <c r="AC838" t="n">
        <v>21</v>
      </c>
      <c r="AD838" t="n">
        <v>1</v>
      </c>
      <c r="AE838" t="n">
        <v>1</v>
      </c>
      <c r="AF838" t="n">
        <v>2</v>
      </c>
      <c r="AG838" t="n">
        <v>2</v>
      </c>
      <c r="AH838" t="n">
        <v>0</v>
      </c>
      <c r="AI838" t="n">
        <v>0</v>
      </c>
      <c r="AJ838" t="n">
        <v>0</v>
      </c>
      <c r="AK838" t="n">
        <v>0</v>
      </c>
      <c r="AL838" t="n">
        <v>1</v>
      </c>
      <c r="AM838" t="n">
        <v>1</v>
      </c>
      <c r="AN838" t="n">
        <v>0</v>
      </c>
      <c r="AO838" t="n">
        <v>0</v>
      </c>
      <c r="AP838" t="n">
        <v>1</v>
      </c>
      <c r="AQ838" t="n">
        <v>1</v>
      </c>
      <c r="AR838" t="inlineStr">
        <is>
          <t>No</t>
        </is>
      </c>
      <c r="AS838" t="inlineStr">
        <is>
          <t>No</t>
        </is>
      </c>
      <c r="AU838">
        <f>HYPERLINK("https://creighton-primo.hosted.exlibrisgroup.com/primo-explore/search?tab=default_tab&amp;search_scope=EVERYTHING&amp;vid=01CRU&amp;lang=en_US&amp;offset=0&amp;query=any,contains,991000658569702656","Catalog Record")</f>
        <v/>
      </c>
      <c r="AV838">
        <f>HYPERLINK("http://www.worldcat.org/oclc/9576550","WorldCat Record")</f>
        <v/>
      </c>
      <c r="AW838" t="inlineStr">
        <is>
          <t>43437882:eng</t>
        </is>
      </c>
      <c r="AX838" t="inlineStr">
        <is>
          <t>9576550</t>
        </is>
      </c>
      <c r="AY838" t="inlineStr">
        <is>
          <t>991000658569702656</t>
        </is>
      </c>
      <c r="AZ838" t="inlineStr">
        <is>
          <t>991000658569702656</t>
        </is>
      </c>
      <c r="BA838" t="inlineStr">
        <is>
          <t>2267593990002656</t>
        </is>
      </c>
      <c r="BB838" t="inlineStr">
        <is>
          <t>BOOK</t>
        </is>
      </c>
      <c r="BD838" t="inlineStr">
        <is>
          <t>9780871250872</t>
        </is>
      </c>
      <c r="BE838" t="inlineStr">
        <is>
          <t>30001000688277</t>
        </is>
      </c>
      <c r="BF838" t="inlineStr">
        <is>
          <t>893368140</t>
        </is>
      </c>
    </row>
    <row r="839">
      <c r="A839" t="inlineStr">
        <is>
          <t>No</t>
        </is>
      </c>
      <c r="B839" t="inlineStr">
        <is>
          <t>CUHSL</t>
        </is>
      </c>
      <c r="C839" t="inlineStr">
        <is>
          <t>SHELVES</t>
        </is>
      </c>
      <c r="D839" t="inlineStr">
        <is>
          <t>W 84.1 K92e 1994</t>
        </is>
      </c>
      <c r="E839" t="inlineStr">
        <is>
          <t>0                      W  0084100K  92e         1994</t>
        </is>
      </c>
      <c r="F839" t="inlineStr">
        <is>
          <t>Effective communication in multicultural health care settings / Gary L. Kreps, Elizabeth N. Kunimoto.</t>
        </is>
      </c>
      <c r="H839" t="inlineStr">
        <is>
          <t>No</t>
        </is>
      </c>
      <c r="I839" t="inlineStr">
        <is>
          <t>1</t>
        </is>
      </c>
      <c r="J839" t="inlineStr">
        <is>
          <t>No</t>
        </is>
      </c>
      <c r="K839" t="inlineStr">
        <is>
          <t>No</t>
        </is>
      </c>
      <c r="L839" t="inlineStr">
        <is>
          <t>0</t>
        </is>
      </c>
      <c r="M839" t="inlineStr">
        <is>
          <t>Kreps, Gary L.</t>
        </is>
      </c>
      <c r="N839" t="inlineStr">
        <is>
          <t>Thousand Oaks, CA : Sage Publications, c1994.</t>
        </is>
      </c>
      <c r="O839" t="inlineStr">
        <is>
          <t>1994</t>
        </is>
      </c>
      <c r="Q839" t="inlineStr">
        <is>
          <t>eng</t>
        </is>
      </c>
      <c r="R839" t="inlineStr">
        <is>
          <t>cau</t>
        </is>
      </c>
      <c r="S839" t="inlineStr">
        <is>
          <t>Communicating effectively in multicultural contexts ; 3</t>
        </is>
      </c>
      <c r="T839" t="inlineStr">
        <is>
          <t xml:space="preserve">W  </t>
        </is>
      </c>
      <c r="U839" t="n">
        <v>10</v>
      </c>
      <c r="V839" t="n">
        <v>10</v>
      </c>
      <c r="W839" t="inlineStr">
        <is>
          <t>2001-11-23</t>
        </is>
      </c>
      <c r="X839" t="inlineStr">
        <is>
          <t>2001-11-23</t>
        </is>
      </c>
      <c r="Y839" t="inlineStr">
        <is>
          <t>1995-08-25</t>
        </is>
      </c>
      <c r="Z839" t="inlineStr">
        <is>
          <t>1995-08-25</t>
        </is>
      </c>
      <c r="AA839" t="n">
        <v>467</v>
      </c>
      <c r="AB839" t="n">
        <v>355</v>
      </c>
      <c r="AC839" t="n">
        <v>408</v>
      </c>
      <c r="AD839" t="n">
        <v>2</v>
      </c>
      <c r="AE839" t="n">
        <v>2</v>
      </c>
      <c r="AF839" t="n">
        <v>22</v>
      </c>
      <c r="AG839" t="n">
        <v>25</v>
      </c>
      <c r="AH839" t="n">
        <v>7</v>
      </c>
      <c r="AI839" t="n">
        <v>8</v>
      </c>
      <c r="AJ839" t="n">
        <v>4</v>
      </c>
      <c r="AK839" t="n">
        <v>6</v>
      </c>
      <c r="AL839" t="n">
        <v>16</v>
      </c>
      <c r="AM839" t="n">
        <v>16</v>
      </c>
      <c r="AN839" t="n">
        <v>1</v>
      </c>
      <c r="AO839" t="n">
        <v>1</v>
      </c>
      <c r="AP839" t="n">
        <v>0</v>
      </c>
      <c r="AQ839" t="n">
        <v>0</v>
      </c>
      <c r="AR839" t="inlineStr">
        <is>
          <t>No</t>
        </is>
      </c>
      <c r="AS839" t="inlineStr">
        <is>
          <t>Yes</t>
        </is>
      </c>
      <c r="AT839">
        <f>HYPERLINK("http://catalog.hathitrust.org/Record/002869041","HathiTrust Record")</f>
        <v/>
      </c>
      <c r="AU839">
        <f>HYPERLINK("https://creighton-primo.hosted.exlibrisgroup.com/primo-explore/search?tab=default_tab&amp;search_scope=EVERYTHING&amp;vid=01CRU&amp;lang=en_US&amp;offset=0&amp;query=any,contains,991001405229702656","Catalog Record")</f>
        <v/>
      </c>
      <c r="AV839">
        <f>HYPERLINK("http://www.worldcat.org/oclc/29704254","WorldCat Record")</f>
        <v/>
      </c>
      <c r="AW839" t="inlineStr">
        <is>
          <t>31712956:eng</t>
        </is>
      </c>
      <c r="AX839" t="inlineStr">
        <is>
          <t>29704254</t>
        </is>
      </c>
      <c r="AY839" t="inlineStr">
        <is>
          <t>991001405229702656</t>
        </is>
      </c>
      <c r="AZ839" t="inlineStr">
        <is>
          <t>991001405229702656</t>
        </is>
      </c>
      <c r="BA839" t="inlineStr">
        <is>
          <t>2260147380002656</t>
        </is>
      </c>
      <c r="BB839" t="inlineStr">
        <is>
          <t>BOOK</t>
        </is>
      </c>
      <c r="BD839" t="inlineStr">
        <is>
          <t>9780803947146</t>
        </is>
      </c>
      <c r="BE839" t="inlineStr">
        <is>
          <t>30001003149822</t>
        </is>
      </c>
      <c r="BF839" t="inlineStr">
        <is>
          <t>893638294</t>
        </is>
      </c>
    </row>
    <row r="840">
      <c r="A840" t="inlineStr">
        <is>
          <t>No</t>
        </is>
      </c>
      <c r="B840" t="inlineStr">
        <is>
          <t>CUHSL</t>
        </is>
      </c>
      <c r="C840" t="inlineStr">
        <is>
          <t>SHELVES</t>
        </is>
      </c>
      <c r="D840" t="inlineStr">
        <is>
          <t>W84.1 L4785e 2000</t>
        </is>
      </c>
      <c r="E840" t="inlineStr">
        <is>
          <t>0                      W  0084100L  4785e       2000</t>
        </is>
      </c>
      <c r="F840" t="inlineStr">
        <is>
          <t>Economics for healthcare managers / Robert H. Lee.</t>
        </is>
      </c>
      <c r="H840" t="inlineStr">
        <is>
          <t>No</t>
        </is>
      </c>
      <c r="I840" t="inlineStr">
        <is>
          <t>1</t>
        </is>
      </c>
      <c r="J840" t="inlineStr">
        <is>
          <t>No</t>
        </is>
      </c>
      <c r="K840" t="inlineStr">
        <is>
          <t>Yes</t>
        </is>
      </c>
      <c r="L840" t="inlineStr">
        <is>
          <t>3</t>
        </is>
      </c>
      <c r="M840" t="inlineStr">
        <is>
          <t>Lee, Robert H., 1948-</t>
        </is>
      </c>
      <c r="N840" t="inlineStr">
        <is>
          <t>Chicago : Health Administration Press ; Washington, D.C. : AUPHA Press, c2000.</t>
        </is>
      </c>
      <c r="O840" t="inlineStr">
        <is>
          <t>2000</t>
        </is>
      </c>
      <c r="Q840" t="inlineStr">
        <is>
          <t>eng</t>
        </is>
      </c>
      <c r="R840" t="inlineStr">
        <is>
          <t>ilu</t>
        </is>
      </c>
      <c r="T840" t="inlineStr">
        <is>
          <t xml:space="preserve">W  </t>
        </is>
      </c>
      <c r="U840" t="n">
        <v>3</v>
      </c>
      <c r="V840" t="n">
        <v>3</v>
      </c>
      <c r="W840" t="inlineStr">
        <is>
          <t>2008-11-07</t>
        </is>
      </c>
      <c r="X840" t="inlineStr">
        <is>
          <t>2008-11-07</t>
        </is>
      </c>
      <c r="Y840" t="inlineStr">
        <is>
          <t>2002-07-09</t>
        </is>
      </c>
      <c r="Z840" t="inlineStr">
        <is>
          <t>2002-07-09</t>
        </is>
      </c>
      <c r="AA840" t="n">
        <v>124</v>
      </c>
      <c r="AB840" t="n">
        <v>110</v>
      </c>
      <c r="AC840" t="n">
        <v>1035</v>
      </c>
      <c r="AD840" t="n">
        <v>1</v>
      </c>
      <c r="AE840" t="n">
        <v>14</v>
      </c>
      <c r="AF840" t="n">
        <v>7</v>
      </c>
      <c r="AG840" t="n">
        <v>38</v>
      </c>
      <c r="AH840" t="n">
        <v>3</v>
      </c>
      <c r="AI840" t="n">
        <v>12</v>
      </c>
      <c r="AJ840" t="n">
        <v>1</v>
      </c>
      <c r="AK840" t="n">
        <v>7</v>
      </c>
      <c r="AL840" t="n">
        <v>3</v>
      </c>
      <c r="AM840" t="n">
        <v>11</v>
      </c>
      <c r="AN840" t="n">
        <v>0</v>
      </c>
      <c r="AO840" t="n">
        <v>12</v>
      </c>
      <c r="AP840" t="n">
        <v>0</v>
      </c>
      <c r="AQ840" t="n">
        <v>1</v>
      </c>
      <c r="AR840" t="inlineStr">
        <is>
          <t>No</t>
        </is>
      </c>
      <c r="AS840" t="inlineStr">
        <is>
          <t>No</t>
        </is>
      </c>
      <c r="AU840">
        <f>HYPERLINK("https://creighton-primo.hosted.exlibrisgroup.com/primo-explore/search?tab=default_tab&amp;search_scope=EVERYTHING&amp;vid=01CRU&amp;lang=en_US&amp;offset=0&amp;query=any,contains,991000324239702656","Catalog Record")</f>
        <v/>
      </c>
      <c r="AV840">
        <f>HYPERLINK("http://www.worldcat.org/oclc/43903767","WorldCat Record")</f>
        <v/>
      </c>
      <c r="AW840" t="inlineStr">
        <is>
          <t>55423:eng</t>
        </is>
      </c>
      <c r="AX840" t="inlineStr">
        <is>
          <t>43903767</t>
        </is>
      </c>
      <c r="AY840" t="inlineStr">
        <is>
          <t>991000324239702656</t>
        </is>
      </c>
      <c r="AZ840" t="inlineStr">
        <is>
          <t>991000324239702656</t>
        </is>
      </c>
      <c r="BA840" t="inlineStr">
        <is>
          <t>2258224420002656</t>
        </is>
      </c>
      <c r="BB840" t="inlineStr">
        <is>
          <t>BOOK</t>
        </is>
      </c>
      <c r="BD840" t="inlineStr">
        <is>
          <t>9781567931303</t>
        </is>
      </c>
      <c r="BE840" t="inlineStr">
        <is>
          <t>30001004442994</t>
        </is>
      </c>
      <c r="BF840" t="inlineStr">
        <is>
          <t>893553419</t>
        </is>
      </c>
    </row>
    <row r="841">
      <c r="A841" t="inlineStr">
        <is>
          <t>No</t>
        </is>
      </c>
      <c r="B841" t="inlineStr">
        <is>
          <t>CUHSL</t>
        </is>
      </c>
      <c r="C841" t="inlineStr">
        <is>
          <t>SHELVES</t>
        </is>
      </c>
      <c r="D841" t="inlineStr">
        <is>
          <t>W84.1 L852m 2004</t>
        </is>
      </c>
      <c r="E841" t="inlineStr">
        <is>
          <t>0                      W  0084100L  852m        2004</t>
        </is>
      </c>
      <c r="F841" t="inlineStr">
        <is>
          <t>Managing health programs and projects / Beaufort B. Longest, Jr.</t>
        </is>
      </c>
      <c r="H841" t="inlineStr">
        <is>
          <t>No</t>
        </is>
      </c>
      <c r="I841" t="inlineStr">
        <is>
          <t>1</t>
        </is>
      </c>
      <c r="J841" t="inlineStr">
        <is>
          <t>No</t>
        </is>
      </c>
      <c r="K841" t="inlineStr">
        <is>
          <t>No</t>
        </is>
      </c>
      <c r="L841" t="inlineStr">
        <is>
          <t>0</t>
        </is>
      </c>
      <c r="M841" t="inlineStr">
        <is>
          <t>Longest, Beaufort B., Jr.</t>
        </is>
      </c>
      <c r="N841" t="inlineStr">
        <is>
          <t>San Francisco : Jossey-Bass, c2004.</t>
        </is>
      </c>
      <c r="O841" t="inlineStr">
        <is>
          <t>2004</t>
        </is>
      </c>
      <c r="P841" t="inlineStr">
        <is>
          <t>1st ed.</t>
        </is>
      </c>
      <c r="Q841" t="inlineStr">
        <is>
          <t>eng</t>
        </is>
      </c>
      <c r="R841" t="inlineStr">
        <is>
          <t>cau</t>
        </is>
      </c>
      <c r="T841" t="inlineStr">
        <is>
          <t xml:space="preserve">W  </t>
        </is>
      </c>
      <c r="U841" t="n">
        <v>0</v>
      </c>
      <c r="V841" t="n">
        <v>0</v>
      </c>
      <c r="W841" t="inlineStr">
        <is>
          <t>2005-11-22</t>
        </is>
      </c>
      <c r="X841" t="inlineStr">
        <is>
          <t>2005-11-22</t>
        </is>
      </c>
      <c r="Y841" t="inlineStr">
        <is>
          <t>2005-11-18</t>
        </is>
      </c>
      <c r="Z841" t="inlineStr">
        <is>
          <t>2005-11-18</t>
        </is>
      </c>
      <c r="AA841" t="n">
        <v>194</v>
      </c>
      <c r="AB841" t="n">
        <v>138</v>
      </c>
      <c r="AC841" t="n">
        <v>934</v>
      </c>
      <c r="AD841" t="n">
        <v>1</v>
      </c>
      <c r="AE841" t="n">
        <v>32</v>
      </c>
      <c r="AF841" t="n">
        <v>4</v>
      </c>
      <c r="AG841" t="n">
        <v>29</v>
      </c>
      <c r="AH841" t="n">
        <v>1</v>
      </c>
      <c r="AI841" t="n">
        <v>6</v>
      </c>
      <c r="AJ841" t="n">
        <v>2</v>
      </c>
      <c r="AK841" t="n">
        <v>4</v>
      </c>
      <c r="AL841" t="n">
        <v>2</v>
      </c>
      <c r="AM841" t="n">
        <v>8</v>
      </c>
      <c r="AN841" t="n">
        <v>0</v>
      </c>
      <c r="AO841" t="n">
        <v>13</v>
      </c>
      <c r="AP841" t="n">
        <v>0</v>
      </c>
      <c r="AQ841" t="n">
        <v>0</v>
      </c>
      <c r="AR841" t="inlineStr">
        <is>
          <t>No</t>
        </is>
      </c>
      <c r="AS841" t="inlineStr">
        <is>
          <t>No</t>
        </is>
      </c>
      <c r="AU841">
        <f>HYPERLINK("https://creighton-primo.hosted.exlibrisgroup.com/primo-explore/search?tab=default_tab&amp;search_scope=EVERYTHING&amp;vid=01CRU&amp;lang=en_US&amp;offset=0&amp;query=any,contains,991000449979702656","Catalog Record")</f>
        <v/>
      </c>
      <c r="AV841">
        <f>HYPERLINK("http://www.worldcat.org/oclc/54896945","WorldCat Record")</f>
        <v/>
      </c>
      <c r="AW841" t="inlineStr">
        <is>
          <t>1051973:eng</t>
        </is>
      </c>
      <c r="AX841" t="inlineStr">
        <is>
          <t>54896945</t>
        </is>
      </c>
      <c r="AY841" t="inlineStr">
        <is>
          <t>991000449979702656</t>
        </is>
      </c>
      <c r="AZ841" t="inlineStr">
        <is>
          <t>991000449979702656</t>
        </is>
      </c>
      <c r="BA841" t="inlineStr">
        <is>
          <t>2255100900002656</t>
        </is>
      </c>
      <c r="BB841" t="inlineStr">
        <is>
          <t>BOOK</t>
        </is>
      </c>
      <c r="BD841" t="inlineStr">
        <is>
          <t>9780787971854</t>
        </is>
      </c>
      <c r="BE841" t="inlineStr">
        <is>
          <t>30001004911501</t>
        </is>
      </c>
      <c r="BF841" t="inlineStr">
        <is>
          <t>893553582</t>
        </is>
      </c>
    </row>
    <row r="842">
      <c r="A842" t="inlineStr">
        <is>
          <t>No</t>
        </is>
      </c>
      <c r="B842" t="inlineStr">
        <is>
          <t>CUHSL</t>
        </is>
      </c>
      <c r="C842" t="inlineStr">
        <is>
          <t>SHELVES</t>
        </is>
      </c>
      <c r="D842" t="inlineStr">
        <is>
          <t>W84.1 L881 2001</t>
        </is>
      </c>
      <c r="E842" t="inlineStr">
        <is>
          <t>0                      W  0084100L  881         2001</t>
        </is>
      </c>
      <c r="F842" t="inlineStr">
        <is>
          <t>The lost art of caring : a challenge to health professionals, families, communities, and society / edited by Leighton E. Cluff and Robert H. Binstock.</t>
        </is>
      </c>
      <c r="H842" t="inlineStr">
        <is>
          <t>No</t>
        </is>
      </c>
      <c r="I842" t="inlineStr">
        <is>
          <t>1</t>
        </is>
      </c>
      <c r="J842" t="inlineStr">
        <is>
          <t>No</t>
        </is>
      </c>
      <c r="K842" t="inlineStr">
        <is>
          <t>No</t>
        </is>
      </c>
      <c r="L842" t="inlineStr">
        <is>
          <t>1</t>
        </is>
      </c>
      <c r="N842" t="inlineStr">
        <is>
          <t>Baltimore, Md. : Johns Hopkins University Press, 2001.</t>
        </is>
      </c>
      <c r="O842" t="inlineStr">
        <is>
          <t>2001</t>
        </is>
      </c>
      <c r="Q842" t="inlineStr">
        <is>
          <t>eng</t>
        </is>
      </c>
      <c r="R842" t="inlineStr">
        <is>
          <t>mdu</t>
        </is>
      </c>
      <c r="T842" t="inlineStr">
        <is>
          <t xml:space="preserve">W  </t>
        </is>
      </c>
      <c r="U842" t="n">
        <v>1</v>
      </c>
      <c r="V842" t="n">
        <v>1</v>
      </c>
      <c r="W842" t="inlineStr">
        <is>
          <t>2006-10-10</t>
        </is>
      </c>
      <c r="X842" t="inlineStr">
        <is>
          <t>2006-10-10</t>
        </is>
      </c>
      <c r="Y842" t="inlineStr">
        <is>
          <t>2002-06-17</t>
        </is>
      </c>
      <c r="Z842" t="inlineStr">
        <is>
          <t>2002-06-17</t>
        </is>
      </c>
      <c r="AA842" t="n">
        <v>471</v>
      </c>
      <c r="AB842" t="n">
        <v>401</v>
      </c>
      <c r="AC842" t="n">
        <v>1451</v>
      </c>
      <c r="AD842" t="n">
        <v>1</v>
      </c>
      <c r="AE842" t="n">
        <v>31</v>
      </c>
      <c r="AF842" t="n">
        <v>22</v>
      </c>
      <c r="AG842" t="n">
        <v>61</v>
      </c>
      <c r="AH842" t="n">
        <v>13</v>
      </c>
      <c r="AI842" t="n">
        <v>25</v>
      </c>
      <c r="AJ842" t="n">
        <v>6</v>
      </c>
      <c r="AK842" t="n">
        <v>11</v>
      </c>
      <c r="AL842" t="n">
        <v>9</v>
      </c>
      <c r="AM842" t="n">
        <v>20</v>
      </c>
      <c r="AN842" t="n">
        <v>0</v>
      </c>
      <c r="AO842" t="n">
        <v>15</v>
      </c>
      <c r="AP842" t="n">
        <v>0</v>
      </c>
      <c r="AQ842" t="n">
        <v>2</v>
      </c>
      <c r="AR842" t="inlineStr">
        <is>
          <t>No</t>
        </is>
      </c>
      <c r="AS842" t="inlineStr">
        <is>
          <t>Yes</t>
        </is>
      </c>
      <c r="AT842">
        <f>HYPERLINK("http://catalog.hathitrust.org/Record/003550219","HathiTrust Record")</f>
        <v/>
      </c>
      <c r="AU842">
        <f>HYPERLINK("https://creighton-primo.hosted.exlibrisgroup.com/primo-explore/search?tab=default_tab&amp;search_scope=EVERYTHING&amp;vid=01CRU&amp;lang=en_US&amp;offset=0&amp;query=any,contains,991000316289702656","Catalog Record")</f>
        <v/>
      </c>
      <c r="AV842">
        <f>HYPERLINK("http://www.worldcat.org/oclc/44585959","WorldCat Record")</f>
        <v/>
      </c>
      <c r="AW842" t="inlineStr">
        <is>
          <t>793896665:eng</t>
        </is>
      </c>
      <c r="AX842" t="inlineStr">
        <is>
          <t>44585959</t>
        </is>
      </c>
      <c r="AY842" t="inlineStr">
        <is>
          <t>991000316289702656</t>
        </is>
      </c>
      <c r="AZ842" t="inlineStr">
        <is>
          <t>991000316289702656</t>
        </is>
      </c>
      <c r="BA842" t="inlineStr">
        <is>
          <t>2266064520002656</t>
        </is>
      </c>
      <c r="BB842" t="inlineStr">
        <is>
          <t>BOOK</t>
        </is>
      </c>
      <c r="BD842" t="inlineStr">
        <is>
          <t>9780801865916</t>
        </is>
      </c>
      <c r="BE842" t="inlineStr">
        <is>
          <t>30001004239432</t>
        </is>
      </c>
      <c r="BF842" t="inlineStr">
        <is>
          <t>893264111</t>
        </is>
      </c>
    </row>
    <row r="843">
      <c r="A843" t="inlineStr">
        <is>
          <t>No</t>
        </is>
      </c>
      <c r="B843" t="inlineStr">
        <is>
          <t>CUHSL</t>
        </is>
      </c>
      <c r="C843" t="inlineStr">
        <is>
          <t>SHELVES</t>
        </is>
      </c>
      <c r="D843" t="inlineStr">
        <is>
          <t>W 84.1 M2665 1999</t>
        </is>
      </c>
      <c r="E843" t="inlineStr">
        <is>
          <t>0                      W  0084100M  2665        1999</t>
        </is>
      </c>
      <c r="F843" t="inlineStr">
        <is>
          <t>Managing change in healthcare : innovative solutions for people-based organizations / M.K. Key.</t>
        </is>
      </c>
      <c r="H843" t="inlineStr">
        <is>
          <t>No</t>
        </is>
      </c>
      <c r="I843" t="inlineStr">
        <is>
          <t>1</t>
        </is>
      </c>
      <c r="J843" t="inlineStr">
        <is>
          <t>No</t>
        </is>
      </c>
      <c r="K843" t="inlineStr">
        <is>
          <t>No</t>
        </is>
      </c>
      <c r="L843" t="inlineStr">
        <is>
          <t>0</t>
        </is>
      </c>
      <c r="M843" t="inlineStr">
        <is>
          <t>Key, M. K., 1949-</t>
        </is>
      </c>
      <c r="N843" t="inlineStr">
        <is>
          <t>New York : McGraw-Hill, c1999.</t>
        </is>
      </c>
      <c r="O843" t="inlineStr">
        <is>
          <t>1999</t>
        </is>
      </c>
      <c r="Q843" t="inlineStr">
        <is>
          <t>eng</t>
        </is>
      </c>
      <c r="R843" t="inlineStr">
        <is>
          <t>nyu</t>
        </is>
      </c>
      <c r="T843" t="inlineStr">
        <is>
          <t xml:space="preserve">W  </t>
        </is>
      </c>
      <c r="U843" t="n">
        <v>0</v>
      </c>
      <c r="V843" t="n">
        <v>0</v>
      </c>
      <c r="W843" t="inlineStr">
        <is>
          <t>2004-09-24</t>
        </is>
      </c>
      <c r="X843" t="inlineStr">
        <is>
          <t>2004-09-24</t>
        </is>
      </c>
      <c r="Y843" t="inlineStr">
        <is>
          <t>2004-09-24</t>
        </is>
      </c>
      <c r="Z843" t="inlineStr">
        <is>
          <t>2004-09-24</t>
        </is>
      </c>
      <c r="AA843" t="n">
        <v>52</v>
      </c>
      <c r="AB843" t="n">
        <v>48</v>
      </c>
      <c r="AC843" t="n">
        <v>49</v>
      </c>
      <c r="AD843" t="n">
        <v>1</v>
      </c>
      <c r="AE843" t="n">
        <v>1</v>
      </c>
      <c r="AF843" t="n">
        <v>0</v>
      </c>
      <c r="AG843" t="n">
        <v>0</v>
      </c>
      <c r="AH843" t="n">
        <v>0</v>
      </c>
      <c r="AI843" t="n">
        <v>0</v>
      </c>
      <c r="AJ843" t="n">
        <v>0</v>
      </c>
      <c r="AK843" t="n">
        <v>0</v>
      </c>
      <c r="AL843" t="n">
        <v>0</v>
      </c>
      <c r="AM843" t="n">
        <v>0</v>
      </c>
      <c r="AN843" t="n">
        <v>0</v>
      </c>
      <c r="AO843" t="n">
        <v>0</v>
      </c>
      <c r="AP843" t="n">
        <v>0</v>
      </c>
      <c r="AQ843" t="n">
        <v>0</v>
      </c>
      <c r="AR843" t="inlineStr">
        <is>
          <t>No</t>
        </is>
      </c>
      <c r="AS843" t="inlineStr">
        <is>
          <t>Yes</t>
        </is>
      </c>
      <c r="AT843">
        <f>HYPERLINK("http://catalog.hathitrust.org/Record/012280236","HathiTrust Record")</f>
        <v/>
      </c>
      <c r="AU843">
        <f>HYPERLINK("https://creighton-primo.hosted.exlibrisgroup.com/primo-explore/search?tab=default_tab&amp;search_scope=EVERYTHING&amp;vid=01CRU&amp;lang=en_US&amp;offset=0&amp;query=any,contains,991000396859702656","Catalog Record")</f>
        <v/>
      </c>
      <c r="AV843">
        <f>HYPERLINK("http://www.worldcat.org/oclc/40255982","WorldCat Record")</f>
        <v/>
      </c>
      <c r="AW843" t="inlineStr">
        <is>
          <t>311810816:eng</t>
        </is>
      </c>
      <c r="AX843" t="inlineStr">
        <is>
          <t>40255982</t>
        </is>
      </c>
      <c r="AY843" t="inlineStr">
        <is>
          <t>991000396859702656</t>
        </is>
      </c>
      <c r="AZ843" t="inlineStr">
        <is>
          <t>991000396859702656</t>
        </is>
      </c>
      <c r="BA843" t="inlineStr">
        <is>
          <t>2258011820002656</t>
        </is>
      </c>
      <c r="BB843" t="inlineStr">
        <is>
          <t>BOOK</t>
        </is>
      </c>
      <c r="BD843" t="inlineStr">
        <is>
          <t>9780071341134</t>
        </is>
      </c>
      <c r="BE843" t="inlineStr">
        <is>
          <t>30001004978989</t>
        </is>
      </c>
      <c r="BF843" t="inlineStr">
        <is>
          <t>893123073</t>
        </is>
      </c>
    </row>
    <row r="844">
      <c r="A844" t="inlineStr">
        <is>
          <t>No</t>
        </is>
      </c>
      <c r="B844" t="inlineStr">
        <is>
          <t>CUHSL</t>
        </is>
      </c>
      <c r="C844" t="inlineStr">
        <is>
          <t>SHELVES</t>
        </is>
      </c>
      <c r="D844" t="inlineStr">
        <is>
          <t>W84.1 M267 2001</t>
        </is>
      </c>
      <c r="E844" t="inlineStr">
        <is>
          <t>0                      W  0084100M  267         2001</t>
        </is>
      </c>
      <c r="F844" t="inlineStr">
        <is>
          <t>Managing ethically : an executive's guide / edited by Paul B. Hofmann and William A. Nelson.</t>
        </is>
      </c>
      <c r="H844" t="inlineStr">
        <is>
          <t>No</t>
        </is>
      </c>
      <c r="I844" t="inlineStr">
        <is>
          <t>1</t>
        </is>
      </c>
      <c r="J844" t="inlineStr">
        <is>
          <t>No</t>
        </is>
      </c>
      <c r="K844" t="inlineStr">
        <is>
          <t>No</t>
        </is>
      </c>
      <c r="L844" t="inlineStr">
        <is>
          <t>0</t>
        </is>
      </c>
      <c r="N844" t="inlineStr">
        <is>
          <t>Chicago, IL : Health Administration Press, c2001.</t>
        </is>
      </c>
      <c r="O844" t="inlineStr">
        <is>
          <t>2001</t>
        </is>
      </c>
      <c r="Q844" t="inlineStr">
        <is>
          <t>eng</t>
        </is>
      </c>
      <c r="R844" t="inlineStr">
        <is>
          <t>ilu</t>
        </is>
      </c>
      <c r="T844" t="inlineStr">
        <is>
          <t xml:space="preserve">W  </t>
        </is>
      </c>
      <c r="U844" t="n">
        <v>4</v>
      </c>
      <c r="V844" t="n">
        <v>4</v>
      </c>
      <c r="W844" t="inlineStr">
        <is>
          <t>2010-06-21</t>
        </is>
      </c>
      <c r="X844" t="inlineStr">
        <is>
          <t>2010-06-21</t>
        </is>
      </c>
      <c r="Y844" t="inlineStr">
        <is>
          <t>2002-07-09</t>
        </is>
      </c>
      <c r="Z844" t="inlineStr">
        <is>
          <t>2002-07-09</t>
        </is>
      </c>
      <c r="AA844" t="n">
        <v>87</v>
      </c>
      <c r="AB844" t="n">
        <v>79</v>
      </c>
      <c r="AC844" t="n">
        <v>81</v>
      </c>
      <c r="AD844" t="n">
        <v>1</v>
      </c>
      <c r="AE844" t="n">
        <v>1</v>
      </c>
      <c r="AF844" t="n">
        <v>5</v>
      </c>
      <c r="AG844" t="n">
        <v>5</v>
      </c>
      <c r="AH844" t="n">
        <v>1</v>
      </c>
      <c r="AI844" t="n">
        <v>1</v>
      </c>
      <c r="AJ844" t="n">
        <v>2</v>
      </c>
      <c r="AK844" t="n">
        <v>2</v>
      </c>
      <c r="AL844" t="n">
        <v>3</v>
      </c>
      <c r="AM844" t="n">
        <v>3</v>
      </c>
      <c r="AN844" t="n">
        <v>0</v>
      </c>
      <c r="AO844" t="n">
        <v>0</v>
      </c>
      <c r="AP844" t="n">
        <v>0</v>
      </c>
      <c r="AQ844" t="n">
        <v>0</v>
      </c>
      <c r="AR844" t="inlineStr">
        <is>
          <t>No</t>
        </is>
      </c>
      <c r="AS844" t="inlineStr">
        <is>
          <t>Yes</t>
        </is>
      </c>
      <c r="AT844">
        <f>HYPERLINK("http://catalog.hathitrust.org/Record/004584434","HathiTrust Record")</f>
        <v/>
      </c>
      <c r="AU844">
        <f>HYPERLINK("https://creighton-primo.hosted.exlibrisgroup.com/primo-explore/search?tab=default_tab&amp;search_scope=EVERYTHING&amp;vid=01CRU&amp;lang=en_US&amp;offset=0&amp;query=any,contains,991000324169702656","Catalog Record")</f>
        <v/>
      </c>
      <c r="AV844">
        <f>HYPERLINK("http://www.worldcat.org/oclc/45879809","WorldCat Record")</f>
        <v/>
      </c>
      <c r="AW844" t="inlineStr">
        <is>
          <t>35719308:eng</t>
        </is>
      </c>
      <c r="AX844" t="inlineStr">
        <is>
          <t>45879809</t>
        </is>
      </c>
      <c r="AY844" t="inlineStr">
        <is>
          <t>991000324169702656</t>
        </is>
      </c>
      <c r="AZ844" t="inlineStr">
        <is>
          <t>991000324169702656</t>
        </is>
      </c>
      <c r="BA844" t="inlineStr">
        <is>
          <t>2254905370002656</t>
        </is>
      </c>
      <c r="BB844" t="inlineStr">
        <is>
          <t>BOOK</t>
        </is>
      </c>
      <c r="BD844" t="inlineStr">
        <is>
          <t>9781567931495</t>
        </is>
      </c>
      <c r="BE844" t="inlineStr">
        <is>
          <t>30001004443000</t>
        </is>
      </c>
      <c r="BF844" t="inlineStr">
        <is>
          <t>893639047</t>
        </is>
      </c>
    </row>
    <row r="845">
      <c r="A845" t="inlineStr">
        <is>
          <t>No</t>
        </is>
      </c>
      <c r="B845" t="inlineStr">
        <is>
          <t>CUHSL</t>
        </is>
      </c>
      <c r="C845" t="inlineStr">
        <is>
          <t>SHELVES</t>
        </is>
      </c>
      <c r="D845" t="inlineStr">
        <is>
          <t>W 84.1 M4893 1985</t>
        </is>
      </c>
      <c r="E845" t="inlineStr">
        <is>
          <t>0                      W  0084100M  4893        1985</t>
        </is>
      </c>
      <c r="F845" t="inlineStr">
        <is>
          <t>Medical innovation and bad outcomes : legal, social, and ethical responses / edited by Mark Siegler, and by Stephen Toulmin, Franklin E. Zimring, Kenneth F. Schaffner.</t>
        </is>
      </c>
      <c r="H845" t="inlineStr">
        <is>
          <t>No</t>
        </is>
      </c>
      <c r="I845" t="inlineStr">
        <is>
          <t>1</t>
        </is>
      </c>
      <c r="J845" t="inlineStr">
        <is>
          <t>No</t>
        </is>
      </c>
      <c r="K845" t="inlineStr">
        <is>
          <t>No</t>
        </is>
      </c>
      <c r="L845" t="inlineStr">
        <is>
          <t>0</t>
        </is>
      </c>
      <c r="N845" t="inlineStr">
        <is>
          <t>Ann Arbor, Mich. : Health Administration Press, c1987.</t>
        </is>
      </c>
      <c r="O845" t="inlineStr">
        <is>
          <t>1987</t>
        </is>
      </c>
      <c r="Q845" t="inlineStr">
        <is>
          <t>eng</t>
        </is>
      </c>
      <c r="R845" t="inlineStr">
        <is>
          <t>xxu</t>
        </is>
      </c>
      <c r="T845" t="inlineStr">
        <is>
          <t xml:space="preserve">W  </t>
        </is>
      </c>
      <c r="U845" t="n">
        <v>2</v>
      </c>
      <c r="V845" t="n">
        <v>2</v>
      </c>
      <c r="W845" t="inlineStr">
        <is>
          <t>1989-07-29</t>
        </is>
      </c>
      <c r="X845" t="inlineStr">
        <is>
          <t>1989-07-29</t>
        </is>
      </c>
      <c r="Y845" t="inlineStr">
        <is>
          <t>1989-06-22</t>
        </is>
      </c>
      <c r="Z845" t="inlineStr">
        <is>
          <t>1989-06-22</t>
        </is>
      </c>
      <c r="AA845" t="n">
        <v>354</v>
      </c>
      <c r="AB845" t="n">
        <v>313</v>
      </c>
      <c r="AC845" t="n">
        <v>314</v>
      </c>
      <c r="AD845" t="n">
        <v>4</v>
      </c>
      <c r="AE845" t="n">
        <v>4</v>
      </c>
      <c r="AF845" t="n">
        <v>28</v>
      </c>
      <c r="AG845" t="n">
        <v>28</v>
      </c>
      <c r="AH845" t="n">
        <v>4</v>
      </c>
      <c r="AI845" t="n">
        <v>4</v>
      </c>
      <c r="AJ845" t="n">
        <v>7</v>
      </c>
      <c r="AK845" t="n">
        <v>7</v>
      </c>
      <c r="AL845" t="n">
        <v>7</v>
      </c>
      <c r="AM845" t="n">
        <v>7</v>
      </c>
      <c r="AN845" t="n">
        <v>1</v>
      </c>
      <c r="AO845" t="n">
        <v>1</v>
      </c>
      <c r="AP845" t="n">
        <v>15</v>
      </c>
      <c r="AQ845" t="n">
        <v>15</v>
      </c>
      <c r="AR845" t="inlineStr">
        <is>
          <t>No</t>
        </is>
      </c>
      <c r="AS845" t="inlineStr">
        <is>
          <t>No</t>
        </is>
      </c>
      <c r="AU845">
        <f>HYPERLINK("https://creighton-primo.hosted.exlibrisgroup.com/primo-explore/search?tab=default_tab&amp;search_scope=EVERYTHING&amp;vid=01CRU&amp;lang=en_US&amp;offset=0&amp;query=any,contains,991001251109702656","Catalog Record")</f>
        <v/>
      </c>
      <c r="AV845">
        <f>HYPERLINK("http://www.worldcat.org/oclc/13796250","WorldCat Record")</f>
        <v/>
      </c>
      <c r="AW845" t="inlineStr">
        <is>
          <t>889714507:eng</t>
        </is>
      </c>
      <c r="AX845" t="inlineStr">
        <is>
          <t>13796250</t>
        </is>
      </c>
      <c r="AY845" t="inlineStr">
        <is>
          <t>991001251109702656</t>
        </is>
      </c>
      <c r="AZ845" t="inlineStr">
        <is>
          <t>991001251109702656</t>
        </is>
      </c>
      <c r="BA845" t="inlineStr">
        <is>
          <t>2270079940002656</t>
        </is>
      </c>
      <c r="BB845" t="inlineStr">
        <is>
          <t>BOOK</t>
        </is>
      </c>
      <c r="BD845" t="inlineStr">
        <is>
          <t>9780910701150</t>
        </is>
      </c>
      <c r="BE845" t="inlineStr">
        <is>
          <t>30001001678913</t>
        </is>
      </c>
      <c r="BF845" t="inlineStr">
        <is>
          <t>893363912</t>
        </is>
      </c>
    </row>
    <row r="846">
      <c r="A846" t="inlineStr">
        <is>
          <t>No</t>
        </is>
      </c>
      <c r="B846" t="inlineStr">
        <is>
          <t>CUHSL</t>
        </is>
      </c>
      <c r="C846" t="inlineStr">
        <is>
          <t>SHELVES</t>
        </is>
      </c>
      <c r="D846" t="inlineStr">
        <is>
          <t>W 84.1 N277 1997</t>
        </is>
      </c>
      <c r="E846" t="inlineStr">
        <is>
          <t>0                      W  0084100N  277         1997</t>
        </is>
      </c>
      <c r="F846" t="inlineStr">
        <is>
          <t>The nation's health / edited by Philip R. Lee, Carroll L. Estes ; Liz Close, assoc. ed.</t>
        </is>
      </c>
      <c r="H846" t="inlineStr">
        <is>
          <t>No</t>
        </is>
      </c>
      <c r="I846" t="inlineStr">
        <is>
          <t>1</t>
        </is>
      </c>
      <c r="J846" t="inlineStr">
        <is>
          <t>No</t>
        </is>
      </c>
      <c r="K846" t="inlineStr">
        <is>
          <t>Yes</t>
        </is>
      </c>
      <c r="L846" t="inlineStr">
        <is>
          <t>0</t>
        </is>
      </c>
      <c r="N846" t="inlineStr">
        <is>
          <t>Boston : Jones and Bartlett, c1997.</t>
        </is>
      </c>
      <c r="O846" t="inlineStr">
        <is>
          <t>1997</t>
        </is>
      </c>
      <c r="P846" t="inlineStr">
        <is>
          <t>5th ed.</t>
        </is>
      </c>
      <c r="Q846" t="inlineStr">
        <is>
          <t>eng</t>
        </is>
      </c>
      <c r="R846" t="inlineStr">
        <is>
          <t>mnu</t>
        </is>
      </c>
      <c r="S846" t="inlineStr">
        <is>
          <t>The Jones and Bartlett series in health sciences</t>
        </is>
      </c>
      <c r="T846" t="inlineStr">
        <is>
          <t xml:space="preserve">W  </t>
        </is>
      </c>
      <c r="U846" t="n">
        <v>11</v>
      </c>
      <c r="V846" t="n">
        <v>11</v>
      </c>
      <c r="W846" t="inlineStr">
        <is>
          <t>2001-03-20</t>
        </is>
      </c>
      <c r="X846" t="inlineStr">
        <is>
          <t>2001-03-20</t>
        </is>
      </c>
      <c r="Y846" t="inlineStr">
        <is>
          <t>1997-04-29</t>
        </is>
      </c>
      <c r="Z846" t="inlineStr">
        <is>
          <t>1997-04-29</t>
        </is>
      </c>
      <c r="AA846" t="n">
        <v>319</v>
      </c>
      <c r="AB846" t="n">
        <v>298</v>
      </c>
      <c r="AC846" t="n">
        <v>1279</v>
      </c>
      <c r="AD846" t="n">
        <v>4</v>
      </c>
      <c r="AE846" t="n">
        <v>12</v>
      </c>
      <c r="AF846" t="n">
        <v>12</v>
      </c>
      <c r="AG846" t="n">
        <v>40</v>
      </c>
      <c r="AH846" t="n">
        <v>2</v>
      </c>
      <c r="AI846" t="n">
        <v>15</v>
      </c>
      <c r="AJ846" t="n">
        <v>4</v>
      </c>
      <c r="AK846" t="n">
        <v>9</v>
      </c>
      <c r="AL846" t="n">
        <v>8</v>
      </c>
      <c r="AM846" t="n">
        <v>15</v>
      </c>
      <c r="AN846" t="n">
        <v>2</v>
      </c>
      <c r="AO846" t="n">
        <v>8</v>
      </c>
      <c r="AP846" t="n">
        <v>0</v>
      </c>
      <c r="AQ846" t="n">
        <v>1</v>
      </c>
      <c r="AR846" t="inlineStr">
        <is>
          <t>No</t>
        </is>
      </c>
      <c r="AS846" t="inlineStr">
        <is>
          <t>Yes</t>
        </is>
      </c>
      <c r="AT846">
        <f>HYPERLINK("http://catalog.hathitrust.org/Record/004538555","HathiTrust Record")</f>
        <v/>
      </c>
      <c r="AU846">
        <f>HYPERLINK("https://creighton-primo.hosted.exlibrisgroup.com/primo-explore/search?tab=default_tab&amp;search_scope=EVERYTHING&amp;vid=01CRU&amp;lang=en_US&amp;offset=0&amp;query=any,contains,991000839969702656","Catalog Record")</f>
        <v/>
      </c>
      <c r="AV846">
        <f>HYPERLINK("http://www.worldcat.org/oclc/36476977","WorldCat Record")</f>
        <v/>
      </c>
      <c r="AW846" t="inlineStr">
        <is>
          <t>502773115:eng</t>
        </is>
      </c>
      <c r="AX846" t="inlineStr">
        <is>
          <t>36476977</t>
        </is>
      </c>
      <c r="AY846" t="inlineStr">
        <is>
          <t>991000839969702656</t>
        </is>
      </c>
      <c r="AZ846" t="inlineStr">
        <is>
          <t>991000839969702656</t>
        </is>
      </c>
      <c r="BA846" t="inlineStr">
        <is>
          <t>22101747170002656</t>
        </is>
      </c>
      <c r="BB846" t="inlineStr">
        <is>
          <t>BOOK</t>
        </is>
      </c>
      <c r="BD846" t="inlineStr">
        <is>
          <t>9780763704056</t>
        </is>
      </c>
      <c r="BE846" t="inlineStr">
        <is>
          <t>30001003443787</t>
        </is>
      </c>
      <c r="BF846" t="inlineStr">
        <is>
          <t>893648455</t>
        </is>
      </c>
    </row>
    <row r="847">
      <c r="A847" t="inlineStr">
        <is>
          <t>No</t>
        </is>
      </c>
      <c r="B847" t="inlineStr">
        <is>
          <t>CUHSL</t>
        </is>
      </c>
      <c r="C847" t="inlineStr">
        <is>
          <t>SHELVES</t>
        </is>
      </c>
      <c r="D847" t="inlineStr">
        <is>
          <t>W84.1 N277 2003</t>
        </is>
      </c>
      <c r="E847" t="inlineStr">
        <is>
          <t>0                      W  0084100N  277         2003</t>
        </is>
      </c>
      <c r="F847" t="inlineStr">
        <is>
          <t>The nation's health / edited by Philip R. Lee and Carroll L. Estes ; Fatima Rodriguez, assistant editor.</t>
        </is>
      </c>
      <c r="H847" t="inlineStr">
        <is>
          <t>No</t>
        </is>
      </c>
      <c r="I847" t="inlineStr">
        <is>
          <t>1</t>
        </is>
      </c>
      <c r="J847" t="inlineStr">
        <is>
          <t>No</t>
        </is>
      </c>
      <c r="K847" t="inlineStr">
        <is>
          <t>Yes</t>
        </is>
      </c>
      <c r="L847" t="inlineStr">
        <is>
          <t>0</t>
        </is>
      </c>
      <c r="N847" t="inlineStr">
        <is>
          <t>Sudbury, Mass. : Jones and Bartlett Pub., c2003.</t>
        </is>
      </c>
      <c r="O847" t="inlineStr">
        <is>
          <t>2003</t>
        </is>
      </c>
      <c r="P847" t="inlineStr">
        <is>
          <t>7th ed.</t>
        </is>
      </c>
      <c r="Q847" t="inlineStr">
        <is>
          <t>eng</t>
        </is>
      </c>
      <c r="R847" t="inlineStr">
        <is>
          <t>mau</t>
        </is>
      </c>
      <c r="T847" t="inlineStr">
        <is>
          <t xml:space="preserve">W  </t>
        </is>
      </c>
      <c r="U847" t="n">
        <v>3</v>
      </c>
      <c r="V847" t="n">
        <v>3</v>
      </c>
      <c r="W847" t="inlineStr">
        <is>
          <t>2004-05-09</t>
        </is>
      </c>
      <c r="X847" t="inlineStr">
        <is>
          <t>2004-05-09</t>
        </is>
      </c>
      <c r="Y847" t="inlineStr">
        <is>
          <t>2003-04-04</t>
        </is>
      </c>
      <c r="Z847" t="inlineStr">
        <is>
          <t>2003-04-04</t>
        </is>
      </c>
      <c r="AA847" t="n">
        <v>396</v>
      </c>
      <c r="AB847" t="n">
        <v>354</v>
      </c>
      <c r="AC847" t="n">
        <v>1279</v>
      </c>
      <c r="AD847" t="n">
        <v>3</v>
      </c>
      <c r="AE847" t="n">
        <v>12</v>
      </c>
      <c r="AF847" t="n">
        <v>15</v>
      </c>
      <c r="AG847" t="n">
        <v>40</v>
      </c>
      <c r="AH847" t="n">
        <v>4</v>
      </c>
      <c r="AI847" t="n">
        <v>15</v>
      </c>
      <c r="AJ847" t="n">
        <v>6</v>
      </c>
      <c r="AK847" t="n">
        <v>9</v>
      </c>
      <c r="AL847" t="n">
        <v>5</v>
      </c>
      <c r="AM847" t="n">
        <v>15</v>
      </c>
      <c r="AN847" t="n">
        <v>2</v>
      </c>
      <c r="AO847" t="n">
        <v>8</v>
      </c>
      <c r="AP847" t="n">
        <v>0</v>
      </c>
      <c r="AQ847" t="n">
        <v>1</v>
      </c>
      <c r="AR847" t="inlineStr">
        <is>
          <t>No</t>
        </is>
      </c>
      <c r="AS847" t="inlineStr">
        <is>
          <t>No</t>
        </is>
      </c>
      <c r="AU847">
        <f>HYPERLINK("https://creighton-primo.hosted.exlibrisgroup.com/primo-explore/search?tab=default_tab&amp;search_scope=EVERYTHING&amp;vid=01CRU&amp;lang=en_US&amp;offset=0&amp;query=any,contains,991001721429702656","Catalog Record")</f>
        <v/>
      </c>
      <c r="AV847">
        <f>HYPERLINK("http://www.worldcat.org/oclc/51046827","WorldCat Record")</f>
        <v/>
      </c>
      <c r="AW847" t="inlineStr">
        <is>
          <t>502773115:eng</t>
        </is>
      </c>
      <c r="AX847" t="inlineStr">
        <is>
          <t>51046827</t>
        </is>
      </c>
      <c r="AY847" t="inlineStr">
        <is>
          <t>991001721429702656</t>
        </is>
      </c>
      <c r="AZ847" t="inlineStr">
        <is>
          <t>991001721429702656</t>
        </is>
      </c>
      <c r="BA847" t="inlineStr">
        <is>
          <t>2270703720002656</t>
        </is>
      </c>
      <c r="BB847" t="inlineStr">
        <is>
          <t>BOOK</t>
        </is>
      </c>
      <c r="BD847" t="inlineStr">
        <is>
          <t>9780763707590</t>
        </is>
      </c>
      <c r="BE847" t="inlineStr">
        <is>
          <t>30001004504025</t>
        </is>
      </c>
      <c r="BF847" t="inlineStr">
        <is>
          <t>893546890</t>
        </is>
      </c>
    </row>
    <row r="848">
      <c r="A848" t="inlineStr">
        <is>
          <t>No</t>
        </is>
      </c>
      <c r="B848" t="inlineStr">
        <is>
          <t>CUHSL</t>
        </is>
      </c>
      <c r="C848" t="inlineStr">
        <is>
          <t>SHELVES</t>
        </is>
      </c>
      <c r="D848" t="inlineStr">
        <is>
          <t>W 84.1 O68 1983</t>
        </is>
      </c>
      <c r="E848" t="inlineStr">
        <is>
          <t>0                      W  0084100O  68          1983</t>
        </is>
      </c>
      <c r="F848" t="inlineStr">
        <is>
          <t>Organization and change in health care quality assurance / edited by Roice D. Luke, Janelle C. Krueger, Robert E. Modrow.</t>
        </is>
      </c>
      <c r="H848" t="inlineStr">
        <is>
          <t>No</t>
        </is>
      </c>
      <c r="I848" t="inlineStr">
        <is>
          <t>1</t>
        </is>
      </c>
      <c r="J848" t="inlineStr">
        <is>
          <t>No</t>
        </is>
      </c>
      <c r="K848" t="inlineStr">
        <is>
          <t>No</t>
        </is>
      </c>
      <c r="L848" t="inlineStr">
        <is>
          <t>0</t>
        </is>
      </c>
      <c r="N848" t="inlineStr">
        <is>
          <t>Rockville, Md. : Aspen Systems Corp., c1983.</t>
        </is>
      </c>
      <c r="O848" t="inlineStr">
        <is>
          <t>1983</t>
        </is>
      </c>
      <c r="Q848" t="inlineStr">
        <is>
          <t>eng</t>
        </is>
      </c>
      <c r="R848" t="inlineStr">
        <is>
          <t>xxu</t>
        </is>
      </c>
      <c r="T848" t="inlineStr">
        <is>
          <t xml:space="preserve">W  </t>
        </is>
      </c>
      <c r="U848" t="n">
        <v>1</v>
      </c>
      <c r="V848" t="n">
        <v>1</v>
      </c>
      <c r="W848" t="inlineStr">
        <is>
          <t>2001-12-02</t>
        </is>
      </c>
      <c r="X848" t="inlineStr">
        <is>
          <t>2001-12-02</t>
        </is>
      </c>
      <c r="Y848" t="inlineStr">
        <is>
          <t>1988-11-21</t>
        </is>
      </c>
      <c r="Z848" t="inlineStr">
        <is>
          <t>1988-11-21</t>
        </is>
      </c>
      <c r="AA848" t="n">
        <v>239</v>
      </c>
      <c r="AB848" t="n">
        <v>220</v>
      </c>
      <c r="AC848" t="n">
        <v>222</v>
      </c>
      <c r="AD848" t="n">
        <v>1</v>
      </c>
      <c r="AE848" t="n">
        <v>1</v>
      </c>
      <c r="AF848" t="n">
        <v>9</v>
      </c>
      <c r="AG848" t="n">
        <v>9</v>
      </c>
      <c r="AH848" t="n">
        <v>3</v>
      </c>
      <c r="AI848" t="n">
        <v>3</v>
      </c>
      <c r="AJ848" t="n">
        <v>4</v>
      </c>
      <c r="AK848" t="n">
        <v>4</v>
      </c>
      <c r="AL848" t="n">
        <v>6</v>
      </c>
      <c r="AM848" t="n">
        <v>6</v>
      </c>
      <c r="AN848" t="n">
        <v>0</v>
      </c>
      <c r="AO848" t="n">
        <v>0</v>
      </c>
      <c r="AP848" t="n">
        <v>0</v>
      </c>
      <c r="AQ848" t="n">
        <v>0</v>
      </c>
      <c r="AR848" t="inlineStr">
        <is>
          <t>No</t>
        </is>
      </c>
      <c r="AS848" t="inlineStr">
        <is>
          <t>Yes</t>
        </is>
      </c>
      <c r="AT848">
        <f>HYPERLINK("http://catalog.hathitrust.org/Record/000153479","HathiTrust Record")</f>
        <v/>
      </c>
      <c r="AU848">
        <f>HYPERLINK("https://creighton-primo.hosted.exlibrisgroup.com/primo-explore/search?tab=default_tab&amp;search_scope=EVERYTHING&amp;vid=01CRU&amp;lang=en_US&amp;offset=0&amp;query=any,contains,991000659019702656","Catalog Record")</f>
        <v/>
      </c>
      <c r="AV848">
        <f>HYPERLINK("http://www.worldcat.org/oclc/9084242","WorldCat Record")</f>
        <v/>
      </c>
      <c r="AW848" t="inlineStr">
        <is>
          <t>429164874:eng</t>
        </is>
      </c>
      <c r="AX848" t="inlineStr">
        <is>
          <t>9084242</t>
        </is>
      </c>
      <c r="AY848" t="inlineStr">
        <is>
          <t>991000659019702656</t>
        </is>
      </c>
      <c r="AZ848" t="inlineStr">
        <is>
          <t>991000659019702656</t>
        </is>
      </c>
      <c r="BA848" t="inlineStr">
        <is>
          <t>2266522700002656</t>
        </is>
      </c>
      <c r="BB848" t="inlineStr">
        <is>
          <t>BOOK</t>
        </is>
      </c>
      <c r="BD848" t="inlineStr">
        <is>
          <t>9780894439308</t>
        </is>
      </c>
      <c r="BE848" t="inlineStr">
        <is>
          <t>30001000688327</t>
        </is>
      </c>
      <c r="BF848" t="inlineStr">
        <is>
          <t>893454663</t>
        </is>
      </c>
    </row>
    <row r="849">
      <c r="A849" t="inlineStr">
        <is>
          <t>No</t>
        </is>
      </c>
      <c r="B849" t="inlineStr">
        <is>
          <t>CUHSL</t>
        </is>
      </c>
      <c r="C849" t="inlineStr">
        <is>
          <t>SHELVES</t>
        </is>
      </c>
      <c r="D849" t="inlineStr">
        <is>
          <t>W 84.1 P957s 1998</t>
        </is>
      </c>
      <c r="E849" t="inlineStr">
        <is>
          <t>0                      W  0084100P  957s        1998</t>
        </is>
      </c>
      <c r="F849" t="inlineStr">
        <is>
          <t>Strategic management for health care entities : creative frameworks for financial and operational analysis / Thomas R. Prince ; foreword by Stephen M. Shortell.</t>
        </is>
      </c>
      <c r="H849" t="inlineStr">
        <is>
          <t>No</t>
        </is>
      </c>
      <c r="I849" t="inlineStr">
        <is>
          <t>1</t>
        </is>
      </c>
      <c r="J849" t="inlineStr">
        <is>
          <t>No</t>
        </is>
      </c>
      <c r="K849" t="inlineStr">
        <is>
          <t>No</t>
        </is>
      </c>
      <c r="L849" t="inlineStr">
        <is>
          <t>0</t>
        </is>
      </c>
      <c r="M849" t="inlineStr">
        <is>
          <t>Prince, Thomas R.</t>
        </is>
      </c>
      <c r="N849" t="inlineStr">
        <is>
          <t>Chicago : American Hospital Pub., c1998.</t>
        </is>
      </c>
      <c r="O849" t="inlineStr">
        <is>
          <t>1998</t>
        </is>
      </c>
      <c r="Q849" t="inlineStr">
        <is>
          <t>eng</t>
        </is>
      </c>
      <c r="R849" t="inlineStr">
        <is>
          <t>ilu</t>
        </is>
      </c>
      <c r="T849" t="inlineStr">
        <is>
          <t xml:space="preserve">W  </t>
        </is>
      </c>
      <c r="U849" t="n">
        <v>1</v>
      </c>
      <c r="V849" t="n">
        <v>1</v>
      </c>
      <c r="W849" t="inlineStr">
        <is>
          <t>2004-11-16</t>
        </is>
      </c>
      <c r="X849" t="inlineStr">
        <is>
          <t>2004-11-16</t>
        </is>
      </c>
      <c r="Y849" t="inlineStr">
        <is>
          <t>2004-09-24</t>
        </is>
      </c>
      <c r="Z849" t="inlineStr">
        <is>
          <t>2004-09-24</t>
        </is>
      </c>
      <c r="AA849" t="n">
        <v>102</v>
      </c>
      <c r="AB849" t="n">
        <v>96</v>
      </c>
      <c r="AC849" t="n">
        <v>96</v>
      </c>
      <c r="AD849" t="n">
        <v>1</v>
      </c>
      <c r="AE849" t="n">
        <v>1</v>
      </c>
      <c r="AF849" t="n">
        <v>4</v>
      </c>
      <c r="AG849" t="n">
        <v>4</v>
      </c>
      <c r="AH849" t="n">
        <v>0</v>
      </c>
      <c r="AI849" t="n">
        <v>0</v>
      </c>
      <c r="AJ849" t="n">
        <v>3</v>
      </c>
      <c r="AK849" t="n">
        <v>3</v>
      </c>
      <c r="AL849" t="n">
        <v>3</v>
      </c>
      <c r="AM849" t="n">
        <v>3</v>
      </c>
      <c r="AN849" t="n">
        <v>0</v>
      </c>
      <c r="AO849" t="n">
        <v>0</v>
      </c>
      <c r="AP849" t="n">
        <v>0</v>
      </c>
      <c r="AQ849" t="n">
        <v>0</v>
      </c>
      <c r="AR849" t="inlineStr">
        <is>
          <t>No</t>
        </is>
      </c>
      <c r="AS849" t="inlineStr">
        <is>
          <t>No</t>
        </is>
      </c>
      <c r="AU849">
        <f>HYPERLINK("https://creighton-primo.hosted.exlibrisgroup.com/primo-explore/search?tab=default_tab&amp;search_scope=EVERYTHING&amp;vid=01CRU&amp;lang=en_US&amp;offset=0&amp;query=any,contains,991000396589702656","Catalog Record")</f>
        <v/>
      </c>
      <c r="AV849">
        <f>HYPERLINK("http://www.worldcat.org/oclc/38249145","WorldCat Record")</f>
        <v/>
      </c>
      <c r="AW849" t="inlineStr">
        <is>
          <t>42602237:eng</t>
        </is>
      </c>
      <c r="AX849" t="inlineStr">
        <is>
          <t>38249145</t>
        </is>
      </c>
      <c r="AY849" t="inlineStr">
        <is>
          <t>991000396589702656</t>
        </is>
      </c>
      <c r="AZ849" t="inlineStr">
        <is>
          <t>991000396589702656</t>
        </is>
      </c>
      <c r="BA849" t="inlineStr">
        <is>
          <t>2272285830002656</t>
        </is>
      </c>
      <c r="BB849" t="inlineStr">
        <is>
          <t>BOOK</t>
        </is>
      </c>
      <c r="BD849" t="inlineStr">
        <is>
          <t>9781556482144</t>
        </is>
      </c>
      <c r="BE849" t="inlineStr">
        <is>
          <t>30001004979086</t>
        </is>
      </c>
      <c r="BF849" t="inlineStr">
        <is>
          <t>893447262</t>
        </is>
      </c>
    </row>
    <row r="850">
      <c r="A850" t="inlineStr">
        <is>
          <t>No</t>
        </is>
      </c>
      <c r="B850" t="inlineStr">
        <is>
          <t>CUHSL</t>
        </is>
      </c>
      <c r="C850" t="inlineStr">
        <is>
          <t>SHELVES</t>
        </is>
      </c>
      <c r="D850" t="inlineStr">
        <is>
          <t>W 84.1 P9656 2006</t>
        </is>
      </c>
      <c r="E850" t="inlineStr">
        <is>
          <t>0                      W  0084100P  9656        2006</t>
        </is>
      </c>
      <c r="F850" t="inlineStr">
        <is>
          <t>Promoting civic engagement in healthcare management education : concepts and case / Mary E. Stefl, Sherril B. Gelmon, Anne M. Hewitt, editors.</t>
        </is>
      </c>
      <c r="H850" t="inlineStr">
        <is>
          <t>No</t>
        </is>
      </c>
      <c r="I850" t="inlineStr">
        <is>
          <t>1</t>
        </is>
      </c>
      <c r="J850" t="inlineStr">
        <is>
          <t>No</t>
        </is>
      </c>
      <c r="K850" t="inlineStr">
        <is>
          <t>No</t>
        </is>
      </c>
      <c r="L850" t="inlineStr">
        <is>
          <t>0</t>
        </is>
      </c>
      <c r="N850" t="inlineStr">
        <is>
          <t>Arlington, Va. : Association of University Programs in Health Administration, c2006.</t>
        </is>
      </c>
      <c r="O850" t="inlineStr">
        <is>
          <t>2006</t>
        </is>
      </c>
      <c r="Q850" t="inlineStr">
        <is>
          <t>eng</t>
        </is>
      </c>
      <c r="R850" t="inlineStr">
        <is>
          <t>vau</t>
        </is>
      </c>
      <c r="T850" t="inlineStr">
        <is>
          <t xml:space="preserve">W  </t>
        </is>
      </c>
      <c r="U850" t="n">
        <v>1</v>
      </c>
      <c r="V850" t="n">
        <v>1</v>
      </c>
      <c r="W850" t="inlineStr">
        <is>
          <t>2010-11-29</t>
        </is>
      </c>
      <c r="X850" t="inlineStr">
        <is>
          <t>2010-11-29</t>
        </is>
      </c>
      <c r="Y850" t="inlineStr">
        <is>
          <t>2010-10-26</t>
        </is>
      </c>
      <c r="Z850" t="inlineStr">
        <is>
          <t>2010-10-26</t>
        </is>
      </c>
      <c r="AA850" t="n">
        <v>54</v>
      </c>
      <c r="AB850" t="n">
        <v>53</v>
      </c>
      <c r="AC850" t="n">
        <v>54</v>
      </c>
      <c r="AD850" t="n">
        <v>1</v>
      </c>
      <c r="AE850" t="n">
        <v>1</v>
      </c>
      <c r="AF850" t="n">
        <v>5</v>
      </c>
      <c r="AG850" t="n">
        <v>5</v>
      </c>
      <c r="AH850" t="n">
        <v>2</v>
      </c>
      <c r="AI850" t="n">
        <v>2</v>
      </c>
      <c r="AJ850" t="n">
        <v>2</v>
      </c>
      <c r="AK850" t="n">
        <v>2</v>
      </c>
      <c r="AL850" t="n">
        <v>4</v>
      </c>
      <c r="AM850" t="n">
        <v>4</v>
      </c>
      <c r="AN850" t="n">
        <v>0</v>
      </c>
      <c r="AO850" t="n">
        <v>0</v>
      </c>
      <c r="AP850" t="n">
        <v>0</v>
      </c>
      <c r="AQ850" t="n">
        <v>0</v>
      </c>
      <c r="AR850" t="inlineStr">
        <is>
          <t>No</t>
        </is>
      </c>
      <c r="AS850" t="inlineStr">
        <is>
          <t>Yes</t>
        </is>
      </c>
      <c r="AT850">
        <f>HYPERLINK("http://catalog.hathitrust.org/Record/009148594","HathiTrust Record")</f>
        <v/>
      </c>
      <c r="AU850">
        <f>HYPERLINK("https://creighton-primo.hosted.exlibrisgroup.com/primo-explore/search?tab=default_tab&amp;search_scope=EVERYTHING&amp;vid=01CRU&amp;lang=en_US&amp;offset=0&amp;query=any,contains,991000062259702656","Catalog Record")</f>
        <v/>
      </c>
      <c r="AV850">
        <f>HYPERLINK("http://www.worldcat.org/oclc/76942623","WorldCat Record")</f>
        <v/>
      </c>
      <c r="AW850" t="inlineStr">
        <is>
          <t>905705631:eng</t>
        </is>
      </c>
      <c r="AX850" t="inlineStr">
        <is>
          <t>76942623</t>
        </is>
      </c>
      <c r="AY850" t="inlineStr">
        <is>
          <t>991000062259702656</t>
        </is>
      </c>
      <c r="AZ850" t="inlineStr">
        <is>
          <t>991000062259702656</t>
        </is>
      </c>
      <c r="BA850" t="inlineStr">
        <is>
          <t>2260141110002656</t>
        </is>
      </c>
      <c r="BB850" t="inlineStr">
        <is>
          <t>BOOK</t>
        </is>
      </c>
      <c r="BE850" t="inlineStr">
        <is>
          <t>30001005431020</t>
        </is>
      </c>
      <c r="BF850" t="inlineStr">
        <is>
          <t>893122284</t>
        </is>
      </c>
    </row>
    <row r="851">
      <c r="A851" t="inlineStr">
        <is>
          <t>No</t>
        </is>
      </c>
      <c r="B851" t="inlineStr">
        <is>
          <t>CUHSL</t>
        </is>
      </c>
      <c r="C851" t="inlineStr">
        <is>
          <t>SHELVES</t>
        </is>
      </c>
      <c r="D851" t="inlineStr">
        <is>
          <t>W 84.1 R823L 2002</t>
        </is>
      </c>
      <c r="E851" t="inlineStr">
        <is>
          <t>0                      W  0084100R  823L        2002</t>
        </is>
      </c>
      <c r="F851" t="inlineStr">
        <is>
          <t>Leadership for the future : core competencies in healthcare / Austin Ross, Frederick J. Wenzel, Joseph W. Mitlyng.</t>
        </is>
      </c>
      <c r="H851" t="inlineStr">
        <is>
          <t>No</t>
        </is>
      </c>
      <c r="I851" t="inlineStr">
        <is>
          <t>1</t>
        </is>
      </c>
      <c r="J851" t="inlineStr">
        <is>
          <t>No</t>
        </is>
      </c>
      <c r="K851" t="inlineStr">
        <is>
          <t>No</t>
        </is>
      </c>
      <c r="L851" t="inlineStr">
        <is>
          <t>0</t>
        </is>
      </c>
      <c r="M851" t="inlineStr">
        <is>
          <t>Ross, Austin.</t>
        </is>
      </c>
      <c r="N851" t="inlineStr">
        <is>
          <t>Chicago : Health Administration Press ; Washington, D.C. : AUPHA Press, c2002.</t>
        </is>
      </c>
      <c r="O851" t="inlineStr">
        <is>
          <t>2002</t>
        </is>
      </c>
      <c r="Q851" t="inlineStr">
        <is>
          <t>eng</t>
        </is>
      </c>
      <c r="R851" t="inlineStr">
        <is>
          <t>ilu</t>
        </is>
      </c>
      <c r="T851" t="inlineStr">
        <is>
          <t xml:space="preserve">W  </t>
        </is>
      </c>
      <c r="U851" t="n">
        <v>1</v>
      </c>
      <c r="V851" t="n">
        <v>1</v>
      </c>
      <c r="W851" t="inlineStr">
        <is>
          <t>2007-08-22</t>
        </is>
      </c>
      <c r="X851" t="inlineStr">
        <is>
          <t>2007-08-22</t>
        </is>
      </c>
      <c r="Y851" t="inlineStr">
        <is>
          <t>2004-08-27</t>
        </is>
      </c>
      <c r="Z851" t="inlineStr">
        <is>
          <t>2004-08-27</t>
        </is>
      </c>
      <c r="AA851" t="n">
        <v>133</v>
      </c>
      <c r="AB851" t="n">
        <v>124</v>
      </c>
      <c r="AC851" t="n">
        <v>653</v>
      </c>
      <c r="AD851" t="n">
        <v>1</v>
      </c>
      <c r="AE851" t="n">
        <v>25</v>
      </c>
      <c r="AF851" t="n">
        <v>7</v>
      </c>
      <c r="AG851" t="n">
        <v>24</v>
      </c>
      <c r="AH851" t="n">
        <v>3</v>
      </c>
      <c r="AI851" t="n">
        <v>7</v>
      </c>
      <c r="AJ851" t="n">
        <v>1</v>
      </c>
      <c r="AK851" t="n">
        <v>4</v>
      </c>
      <c r="AL851" t="n">
        <v>5</v>
      </c>
      <c r="AM851" t="n">
        <v>7</v>
      </c>
      <c r="AN851" t="n">
        <v>0</v>
      </c>
      <c r="AO851" t="n">
        <v>10</v>
      </c>
      <c r="AP851" t="n">
        <v>0</v>
      </c>
      <c r="AQ851" t="n">
        <v>0</v>
      </c>
      <c r="AR851" t="inlineStr">
        <is>
          <t>No</t>
        </is>
      </c>
      <c r="AS851" t="inlineStr">
        <is>
          <t>No</t>
        </is>
      </c>
      <c r="AU851">
        <f>HYPERLINK("https://creighton-primo.hosted.exlibrisgroup.com/primo-explore/search?tab=default_tab&amp;search_scope=EVERYTHING&amp;vid=01CRU&amp;lang=en_US&amp;offset=0&amp;query=any,contains,991000379449702656","Catalog Record")</f>
        <v/>
      </c>
      <c r="AV851">
        <f>HYPERLINK("http://www.worldcat.org/oclc/47177741","WorldCat Record")</f>
        <v/>
      </c>
      <c r="AW851" t="inlineStr">
        <is>
          <t>941756:eng</t>
        </is>
      </c>
      <c r="AX851" t="inlineStr">
        <is>
          <t>47177741</t>
        </is>
      </c>
      <c r="AY851" t="inlineStr">
        <is>
          <t>991000379449702656</t>
        </is>
      </c>
      <c r="AZ851" t="inlineStr">
        <is>
          <t>991000379449702656</t>
        </is>
      </c>
      <c r="BA851" t="inlineStr">
        <is>
          <t>2265012530002656</t>
        </is>
      </c>
      <c r="BB851" t="inlineStr">
        <is>
          <t>BOOK</t>
        </is>
      </c>
      <c r="BD851" t="inlineStr">
        <is>
          <t>9781567931600</t>
        </is>
      </c>
      <c r="BE851" t="inlineStr">
        <is>
          <t>30001004219939</t>
        </is>
      </c>
      <c r="BF851" t="inlineStr">
        <is>
          <t>893629182</t>
        </is>
      </c>
    </row>
    <row r="852">
      <c r="A852" t="inlineStr">
        <is>
          <t>No</t>
        </is>
      </c>
      <c r="B852" t="inlineStr">
        <is>
          <t>CUHSL</t>
        </is>
      </c>
      <c r="C852" t="inlineStr">
        <is>
          <t>SHELVES</t>
        </is>
      </c>
      <c r="D852" t="inlineStr">
        <is>
          <t>W 84.1 R896i 1975</t>
        </is>
      </c>
      <c r="E852" t="inlineStr">
        <is>
          <t>0                      W  0084100R  896i        1975</t>
        </is>
      </c>
      <c r="F852" t="inlineStr">
        <is>
          <t>Improving the coordination of care : a program for health team development / Irwin M. Rubin, Mark S. Plovnick, and Ronald E. Fry.</t>
        </is>
      </c>
      <c r="H852" t="inlineStr">
        <is>
          <t>No</t>
        </is>
      </c>
      <c r="I852" t="inlineStr">
        <is>
          <t>1</t>
        </is>
      </c>
      <c r="J852" t="inlineStr">
        <is>
          <t>No</t>
        </is>
      </c>
      <c r="K852" t="inlineStr">
        <is>
          <t>No</t>
        </is>
      </c>
      <c r="L852" t="inlineStr">
        <is>
          <t>0</t>
        </is>
      </c>
      <c r="M852" t="inlineStr">
        <is>
          <t>Rubin, Irwin M., 1939-</t>
        </is>
      </c>
      <c r="N852" t="inlineStr">
        <is>
          <t>Cambridge, MA. : Ballinger Pub. Co., c1975.</t>
        </is>
      </c>
      <c r="O852" t="inlineStr">
        <is>
          <t>1975</t>
        </is>
      </c>
      <c r="Q852" t="inlineStr">
        <is>
          <t>eng</t>
        </is>
      </c>
      <c r="R852" t="inlineStr">
        <is>
          <t>mau</t>
        </is>
      </c>
      <c r="T852" t="inlineStr">
        <is>
          <t xml:space="preserve">W  </t>
        </is>
      </c>
      <c r="U852" t="n">
        <v>5</v>
      </c>
      <c r="V852" t="n">
        <v>5</v>
      </c>
      <c r="W852" t="inlineStr">
        <is>
          <t>1992-02-06</t>
        </is>
      </c>
      <c r="X852" t="inlineStr">
        <is>
          <t>1992-02-06</t>
        </is>
      </c>
      <c r="Y852" t="inlineStr">
        <is>
          <t>1987-12-22</t>
        </is>
      </c>
      <c r="Z852" t="inlineStr">
        <is>
          <t>1987-12-22</t>
        </is>
      </c>
      <c r="AA852" t="n">
        <v>164</v>
      </c>
      <c r="AB852" t="n">
        <v>134</v>
      </c>
      <c r="AC852" t="n">
        <v>136</v>
      </c>
      <c r="AD852" t="n">
        <v>2</v>
      </c>
      <c r="AE852" t="n">
        <v>2</v>
      </c>
      <c r="AF852" t="n">
        <v>5</v>
      </c>
      <c r="AG852" t="n">
        <v>5</v>
      </c>
      <c r="AH852" t="n">
        <v>0</v>
      </c>
      <c r="AI852" t="n">
        <v>0</v>
      </c>
      <c r="AJ852" t="n">
        <v>0</v>
      </c>
      <c r="AK852" t="n">
        <v>0</v>
      </c>
      <c r="AL852" t="n">
        <v>4</v>
      </c>
      <c r="AM852" t="n">
        <v>4</v>
      </c>
      <c r="AN852" t="n">
        <v>1</v>
      </c>
      <c r="AO852" t="n">
        <v>1</v>
      </c>
      <c r="AP852" t="n">
        <v>0</v>
      </c>
      <c r="AQ852" t="n">
        <v>0</v>
      </c>
      <c r="AR852" t="inlineStr">
        <is>
          <t>No</t>
        </is>
      </c>
      <c r="AS852" t="inlineStr">
        <is>
          <t>Yes</t>
        </is>
      </c>
      <c r="AT852">
        <f>HYPERLINK("http://catalog.hathitrust.org/Record/000020321","HathiTrust Record")</f>
        <v/>
      </c>
      <c r="AU852">
        <f>HYPERLINK("https://creighton-primo.hosted.exlibrisgroup.com/primo-explore/search?tab=default_tab&amp;search_scope=EVERYTHING&amp;vid=01CRU&amp;lang=en_US&amp;offset=0&amp;query=any,contains,991000659049702656","Catalog Record")</f>
        <v/>
      </c>
      <c r="AV852">
        <f>HYPERLINK("http://www.worldcat.org/oclc/1531881","WorldCat Record")</f>
        <v/>
      </c>
      <c r="AW852" t="inlineStr">
        <is>
          <t>221921922:eng</t>
        </is>
      </c>
      <c r="AX852" t="inlineStr">
        <is>
          <t>1531881</t>
        </is>
      </c>
      <c r="AY852" t="inlineStr">
        <is>
          <t>991000659049702656</t>
        </is>
      </c>
      <c r="AZ852" t="inlineStr">
        <is>
          <t>991000659049702656</t>
        </is>
      </c>
      <c r="BA852" t="inlineStr">
        <is>
          <t>2271830610002656</t>
        </is>
      </c>
      <c r="BB852" t="inlineStr">
        <is>
          <t>BOOK</t>
        </is>
      </c>
      <c r="BD852" t="inlineStr">
        <is>
          <t>9780884101208</t>
        </is>
      </c>
      <c r="BE852" t="inlineStr">
        <is>
          <t>30001000688343</t>
        </is>
      </c>
      <c r="BF852" t="inlineStr">
        <is>
          <t>893283317</t>
        </is>
      </c>
    </row>
    <row r="853">
      <c r="A853" t="inlineStr">
        <is>
          <t>No</t>
        </is>
      </c>
      <c r="B853" t="inlineStr">
        <is>
          <t>CUHSL</t>
        </is>
      </c>
      <c r="C853" t="inlineStr">
        <is>
          <t>SHELVES</t>
        </is>
      </c>
      <c r="D853" t="inlineStr">
        <is>
          <t>W 84.1 S258 1987</t>
        </is>
      </c>
      <c r="E853" t="inlineStr">
        <is>
          <t>0                      W  0084100S  258         1987</t>
        </is>
      </c>
      <c r="F853" t="inlineStr">
        <is>
          <t>Scarce medical resources and justice / contributors to this volume, Fiorenzo Angelini ... [et al.].</t>
        </is>
      </c>
      <c r="H853" t="inlineStr">
        <is>
          <t>No</t>
        </is>
      </c>
      <c r="I853" t="inlineStr">
        <is>
          <t>1</t>
        </is>
      </c>
      <c r="J853" t="inlineStr">
        <is>
          <t>No</t>
        </is>
      </c>
      <c r="K853" t="inlineStr">
        <is>
          <t>No</t>
        </is>
      </c>
      <c r="L853" t="inlineStr">
        <is>
          <t>0</t>
        </is>
      </c>
      <c r="N853" t="inlineStr">
        <is>
          <t>Braintree, Mass. : Pope John Center, c1987.</t>
        </is>
      </c>
      <c r="O853" t="inlineStr">
        <is>
          <t>1987</t>
        </is>
      </c>
      <c r="Q853" t="inlineStr">
        <is>
          <t>eng</t>
        </is>
      </c>
      <c r="R853" t="inlineStr">
        <is>
          <t>xxu</t>
        </is>
      </c>
      <c r="T853" t="inlineStr">
        <is>
          <t xml:space="preserve">W  </t>
        </is>
      </c>
      <c r="U853" t="n">
        <v>7</v>
      </c>
      <c r="V853" t="n">
        <v>7</v>
      </c>
      <c r="W853" t="inlineStr">
        <is>
          <t>1998-11-12</t>
        </is>
      </c>
      <c r="X853" t="inlineStr">
        <is>
          <t>1998-11-12</t>
        </is>
      </c>
      <c r="Y853" t="inlineStr">
        <is>
          <t>1988-09-17</t>
        </is>
      </c>
      <c r="Z853" t="inlineStr">
        <is>
          <t>1988-09-17</t>
        </is>
      </c>
      <c r="AA853" t="n">
        <v>125</v>
      </c>
      <c r="AB853" t="n">
        <v>100</v>
      </c>
      <c r="AC853" t="n">
        <v>106</v>
      </c>
      <c r="AD853" t="n">
        <v>3</v>
      </c>
      <c r="AE853" t="n">
        <v>3</v>
      </c>
      <c r="AF853" t="n">
        <v>11</v>
      </c>
      <c r="AG853" t="n">
        <v>11</v>
      </c>
      <c r="AH853" t="n">
        <v>3</v>
      </c>
      <c r="AI853" t="n">
        <v>3</v>
      </c>
      <c r="AJ853" t="n">
        <v>3</v>
      </c>
      <c r="AK853" t="n">
        <v>3</v>
      </c>
      <c r="AL853" t="n">
        <v>8</v>
      </c>
      <c r="AM853" t="n">
        <v>8</v>
      </c>
      <c r="AN853" t="n">
        <v>1</v>
      </c>
      <c r="AO853" t="n">
        <v>1</v>
      </c>
      <c r="AP853" t="n">
        <v>0</v>
      </c>
      <c r="AQ853" t="n">
        <v>0</v>
      </c>
      <c r="AR853" t="inlineStr">
        <is>
          <t>No</t>
        </is>
      </c>
      <c r="AS853" t="inlineStr">
        <is>
          <t>Yes</t>
        </is>
      </c>
      <c r="AT853">
        <f>HYPERLINK("http://catalog.hathitrust.org/Record/007991568","HathiTrust Record")</f>
        <v/>
      </c>
      <c r="AU853">
        <f>HYPERLINK("https://creighton-primo.hosted.exlibrisgroup.com/primo-explore/search?tab=default_tab&amp;search_scope=EVERYTHING&amp;vid=01CRU&amp;lang=en_US&amp;offset=0&amp;query=any,contains,991001423719702656","Catalog Record")</f>
        <v/>
      </c>
      <c r="AV853">
        <f>HYPERLINK("http://www.worldcat.org/oclc/16227518","WorldCat Record")</f>
        <v/>
      </c>
      <c r="AW853" t="inlineStr">
        <is>
          <t>138589996:eng</t>
        </is>
      </c>
      <c r="AX853" t="inlineStr">
        <is>
          <t>16227518</t>
        </is>
      </c>
      <c r="AY853" t="inlineStr">
        <is>
          <t>991001423719702656</t>
        </is>
      </c>
      <c r="AZ853" t="inlineStr">
        <is>
          <t>991001423719702656</t>
        </is>
      </c>
      <c r="BA853" t="inlineStr">
        <is>
          <t>2268615580002656</t>
        </is>
      </c>
      <c r="BB853" t="inlineStr">
        <is>
          <t>BOOK</t>
        </is>
      </c>
      <c r="BD853" t="inlineStr">
        <is>
          <t>9780935372212</t>
        </is>
      </c>
      <c r="BE853" t="inlineStr">
        <is>
          <t>30001001183401</t>
        </is>
      </c>
      <c r="BF853" t="inlineStr">
        <is>
          <t>893284794</t>
        </is>
      </c>
    </row>
    <row r="854">
      <c r="A854" t="inlineStr">
        <is>
          <t>No</t>
        </is>
      </c>
      <c r="B854" t="inlineStr">
        <is>
          <t>CUHSL</t>
        </is>
      </c>
      <c r="C854" t="inlineStr">
        <is>
          <t>SHELVES</t>
        </is>
      </c>
      <c r="D854" t="inlineStr">
        <is>
          <t>W84.1 S746 2004</t>
        </is>
      </c>
      <c r="E854" t="inlineStr">
        <is>
          <t>0                      W  0084100S  746         2004</t>
        </is>
      </c>
      <c r="F854" t="inlineStr">
        <is>
          <t>Spending wisely : buying health services for the poor / Alexander S. Preker, John C. Langenbrunner.</t>
        </is>
      </c>
      <c r="H854" t="inlineStr">
        <is>
          <t>No</t>
        </is>
      </c>
      <c r="I854" t="inlineStr">
        <is>
          <t>1</t>
        </is>
      </c>
      <c r="J854" t="inlineStr">
        <is>
          <t>Yes</t>
        </is>
      </c>
      <c r="K854" t="inlineStr">
        <is>
          <t>No</t>
        </is>
      </c>
      <c r="L854" t="inlineStr">
        <is>
          <t>0</t>
        </is>
      </c>
      <c r="N854" t="inlineStr">
        <is>
          <t>Washington, DC : World Bank, 2004.</t>
        </is>
      </c>
      <c r="O854" t="inlineStr">
        <is>
          <t>2004</t>
        </is>
      </c>
      <c r="Q854" t="inlineStr">
        <is>
          <t>eng</t>
        </is>
      </c>
      <c r="R854" t="inlineStr">
        <is>
          <t>dcu</t>
        </is>
      </c>
      <c r="T854" t="inlineStr">
        <is>
          <t xml:space="preserve">W  </t>
        </is>
      </c>
      <c r="U854" t="n">
        <v>0</v>
      </c>
      <c r="V854" t="n">
        <v>0</v>
      </c>
      <c r="W854" t="inlineStr">
        <is>
          <t>2008-10-27</t>
        </is>
      </c>
      <c r="X854" t="inlineStr">
        <is>
          <t>2008-10-27</t>
        </is>
      </c>
      <c r="Y854" t="inlineStr">
        <is>
          <t>2008-01-24</t>
        </is>
      </c>
      <c r="Z854" t="inlineStr">
        <is>
          <t>2008-01-24</t>
        </is>
      </c>
      <c r="AA854" t="n">
        <v>170</v>
      </c>
      <c r="AB854" t="n">
        <v>116</v>
      </c>
      <c r="AC854" t="n">
        <v>661</v>
      </c>
      <c r="AD854" t="n">
        <v>2</v>
      </c>
      <c r="AE854" t="n">
        <v>6</v>
      </c>
      <c r="AF854" t="n">
        <v>5</v>
      </c>
      <c r="AG854" t="n">
        <v>29</v>
      </c>
      <c r="AH854" t="n">
        <v>0</v>
      </c>
      <c r="AI854" t="n">
        <v>10</v>
      </c>
      <c r="AJ854" t="n">
        <v>3</v>
      </c>
      <c r="AK854" t="n">
        <v>9</v>
      </c>
      <c r="AL854" t="n">
        <v>4</v>
      </c>
      <c r="AM854" t="n">
        <v>11</v>
      </c>
      <c r="AN854" t="n">
        <v>0</v>
      </c>
      <c r="AO854" t="n">
        <v>4</v>
      </c>
      <c r="AP854" t="n">
        <v>0</v>
      </c>
      <c r="AQ854" t="n">
        <v>1</v>
      </c>
      <c r="AR854" t="inlineStr">
        <is>
          <t>No</t>
        </is>
      </c>
      <c r="AS854" t="inlineStr">
        <is>
          <t>No</t>
        </is>
      </c>
      <c r="AU854">
        <f>HYPERLINK("https://creighton-primo.hosted.exlibrisgroup.com/primo-explore/search?tab=default_tab&amp;search_scope=EVERYTHING&amp;vid=01CRU&amp;lang=en_US&amp;offset=0&amp;query=any,contains,991000674139702656","Catalog Record")</f>
        <v/>
      </c>
      <c r="AV854">
        <f>HYPERLINK("http://www.worldcat.org/oclc/55885446","WorldCat Record")</f>
        <v/>
      </c>
      <c r="AW854" t="inlineStr">
        <is>
          <t>793948841:eng</t>
        </is>
      </c>
      <c r="AX854" t="inlineStr">
        <is>
          <t>55885446</t>
        </is>
      </c>
      <c r="AY854" t="inlineStr">
        <is>
          <t>991000674139702656</t>
        </is>
      </c>
      <c r="AZ854" t="inlineStr">
        <is>
          <t>991000674139702656</t>
        </is>
      </c>
      <c r="BA854" t="inlineStr">
        <is>
          <t>2258772850002656</t>
        </is>
      </c>
      <c r="BB854" t="inlineStr">
        <is>
          <t>BOOK</t>
        </is>
      </c>
      <c r="BD854" t="inlineStr">
        <is>
          <t>9780821359181</t>
        </is>
      </c>
      <c r="BE854" t="inlineStr">
        <is>
          <t>30001005127255</t>
        </is>
      </c>
      <c r="BF854" t="inlineStr">
        <is>
          <t>893834148</t>
        </is>
      </c>
    </row>
    <row r="855">
      <c r="A855" t="inlineStr">
        <is>
          <t>No</t>
        </is>
      </c>
      <c r="B855" t="inlineStr">
        <is>
          <t>CUHSL</t>
        </is>
      </c>
      <c r="C855" t="inlineStr">
        <is>
          <t>SHELVES</t>
        </is>
      </c>
      <c r="D855" t="inlineStr">
        <is>
          <t>W 84.1 T268 1998</t>
        </is>
      </c>
      <c r="E855" t="inlineStr">
        <is>
          <t>0                      W  0084100T  268         1998</t>
        </is>
      </c>
      <c r="F855" t="inlineStr">
        <is>
          <t>Telemedicine : practicing in the information age / edited by Steven F. Viegas, Kim Dunn.</t>
        </is>
      </c>
      <c r="H855" t="inlineStr">
        <is>
          <t>No</t>
        </is>
      </c>
      <c r="I855" t="inlineStr">
        <is>
          <t>1</t>
        </is>
      </c>
      <c r="J855" t="inlineStr">
        <is>
          <t>No</t>
        </is>
      </c>
      <c r="K855" t="inlineStr">
        <is>
          <t>No</t>
        </is>
      </c>
      <c r="L855" t="inlineStr">
        <is>
          <t>0</t>
        </is>
      </c>
      <c r="N855" t="inlineStr">
        <is>
          <t>Philadelphia, Pa. : Lippincott-Raven, c1998.</t>
        </is>
      </c>
      <c r="O855" t="inlineStr">
        <is>
          <t>1998</t>
        </is>
      </c>
      <c r="Q855" t="inlineStr">
        <is>
          <t>eng</t>
        </is>
      </c>
      <c r="R855" t="inlineStr">
        <is>
          <t>pau</t>
        </is>
      </c>
      <c r="T855" t="inlineStr">
        <is>
          <t xml:space="preserve">W  </t>
        </is>
      </c>
      <c r="U855" t="n">
        <v>12</v>
      </c>
      <c r="V855" t="n">
        <v>12</v>
      </c>
      <c r="W855" t="inlineStr">
        <is>
          <t>2003-06-30</t>
        </is>
      </c>
      <c r="X855" t="inlineStr">
        <is>
          <t>2003-06-30</t>
        </is>
      </c>
      <c r="Y855" t="inlineStr">
        <is>
          <t>1999-01-07</t>
        </is>
      </c>
      <c r="Z855" t="inlineStr">
        <is>
          <t>1999-01-07</t>
        </is>
      </c>
      <c r="AA855" t="n">
        <v>183</v>
      </c>
      <c r="AB855" t="n">
        <v>133</v>
      </c>
      <c r="AC855" t="n">
        <v>140</v>
      </c>
      <c r="AD855" t="n">
        <v>1</v>
      </c>
      <c r="AE855" t="n">
        <v>1</v>
      </c>
      <c r="AF855" t="n">
        <v>4</v>
      </c>
      <c r="AG855" t="n">
        <v>4</v>
      </c>
      <c r="AH855" t="n">
        <v>1</v>
      </c>
      <c r="AI855" t="n">
        <v>1</v>
      </c>
      <c r="AJ855" t="n">
        <v>2</v>
      </c>
      <c r="AK855" t="n">
        <v>2</v>
      </c>
      <c r="AL855" t="n">
        <v>2</v>
      </c>
      <c r="AM855" t="n">
        <v>2</v>
      </c>
      <c r="AN855" t="n">
        <v>0</v>
      </c>
      <c r="AO855" t="n">
        <v>0</v>
      </c>
      <c r="AP855" t="n">
        <v>0</v>
      </c>
      <c r="AQ855" t="n">
        <v>0</v>
      </c>
      <c r="AR855" t="inlineStr">
        <is>
          <t>No</t>
        </is>
      </c>
      <c r="AS855" t="inlineStr">
        <is>
          <t>Yes</t>
        </is>
      </c>
      <c r="AT855">
        <f>HYPERLINK("http://catalog.hathitrust.org/Record/003984124","HathiTrust Record")</f>
        <v/>
      </c>
      <c r="AU855">
        <f>HYPERLINK("https://creighton-primo.hosted.exlibrisgroup.com/primo-explore/search?tab=default_tab&amp;search_scope=EVERYTHING&amp;vid=01CRU&amp;lang=en_US&amp;offset=0&amp;query=any,contains,991001549019702656","Catalog Record")</f>
        <v/>
      </c>
      <c r="AV855">
        <f>HYPERLINK("http://www.worldcat.org/oclc/38562382","WorldCat Record")</f>
        <v/>
      </c>
      <c r="AW855" t="inlineStr">
        <is>
          <t>476244105:eng</t>
        </is>
      </c>
      <c r="AX855" t="inlineStr">
        <is>
          <t>38562382</t>
        </is>
      </c>
      <c r="AY855" t="inlineStr">
        <is>
          <t>991001549019702656</t>
        </is>
      </c>
      <c r="AZ855" t="inlineStr">
        <is>
          <t>991001549019702656</t>
        </is>
      </c>
      <c r="BA855" t="inlineStr">
        <is>
          <t>2265751910002656</t>
        </is>
      </c>
      <c r="BB855" t="inlineStr">
        <is>
          <t>BOOK</t>
        </is>
      </c>
      <c r="BD855" t="inlineStr">
        <is>
          <t>9780397518432</t>
        </is>
      </c>
      <c r="BE855" t="inlineStr">
        <is>
          <t>30001004037786</t>
        </is>
      </c>
      <c r="BF855" t="inlineStr">
        <is>
          <t>893826857</t>
        </is>
      </c>
    </row>
    <row r="856">
      <c r="A856" t="inlineStr">
        <is>
          <t>No</t>
        </is>
      </c>
      <c r="B856" t="inlineStr">
        <is>
          <t>CUHSL</t>
        </is>
      </c>
      <c r="C856" t="inlineStr">
        <is>
          <t>SHELVES</t>
        </is>
      </c>
      <c r="D856" t="inlineStr">
        <is>
          <t>W 84.1 T584p 2003</t>
        </is>
      </c>
      <c r="E856" t="inlineStr">
        <is>
          <t>0                      W  0084100T  584p        2003</t>
        </is>
      </c>
      <c r="F856" t="inlineStr">
        <is>
          <t>Planning, program development, and evaluation : a handbook for health promotion, aging, and health services / Thomas C. Timmreck.</t>
        </is>
      </c>
      <c r="H856" t="inlineStr">
        <is>
          <t>No</t>
        </is>
      </c>
      <c r="I856" t="inlineStr">
        <is>
          <t>1</t>
        </is>
      </c>
      <c r="J856" t="inlineStr">
        <is>
          <t>No</t>
        </is>
      </c>
      <c r="K856" t="inlineStr">
        <is>
          <t>Yes</t>
        </is>
      </c>
      <c r="L856" t="inlineStr">
        <is>
          <t>0</t>
        </is>
      </c>
      <c r="M856" t="inlineStr">
        <is>
          <t>Timmreck, Thomas C.</t>
        </is>
      </c>
      <c r="N856" t="inlineStr">
        <is>
          <t>Sudbury, Mass. : Jones and Bartlett, c2003.</t>
        </is>
      </c>
      <c r="O856" t="inlineStr">
        <is>
          <t>2003</t>
        </is>
      </c>
      <c r="P856" t="inlineStr">
        <is>
          <t>2nd ed.</t>
        </is>
      </c>
      <c r="Q856" t="inlineStr">
        <is>
          <t>eng</t>
        </is>
      </c>
      <c r="R856" t="inlineStr">
        <is>
          <t>mau</t>
        </is>
      </c>
      <c r="T856" t="inlineStr">
        <is>
          <t xml:space="preserve">W  </t>
        </is>
      </c>
      <c r="U856" t="n">
        <v>5</v>
      </c>
      <c r="V856" t="n">
        <v>5</v>
      </c>
      <c r="W856" t="inlineStr">
        <is>
          <t>2010-07-29</t>
        </is>
      </c>
      <c r="X856" t="inlineStr">
        <is>
          <t>2010-07-29</t>
        </is>
      </c>
      <c r="Y856" t="inlineStr">
        <is>
          <t>2009-01-15</t>
        </is>
      </c>
      <c r="Z856" t="inlineStr">
        <is>
          <t>2009-01-15</t>
        </is>
      </c>
      <c r="AA856" t="n">
        <v>164</v>
      </c>
      <c r="AB856" t="n">
        <v>111</v>
      </c>
      <c r="AC856" t="n">
        <v>640</v>
      </c>
      <c r="AD856" t="n">
        <v>1</v>
      </c>
      <c r="AE856" t="n">
        <v>4</v>
      </c>
      <c r="AF856" t="n">
        <v>4</v>
      </c>
      <c r="AG856" t="n">
        <v>18</v>
      </c>
      <c r="AH856" t="n">
        <v>1</v>
      </c>
      <c r="AI856" t="n">
        <v>10</v>
      </c>
      <c r="AJ856" t="n">
        <v>1</v>
      </c>
      <c r="AK856" t="n">
        <v>3</v>
      </c>
      <c r="AL856" t="n">
        <v>4</v>
      </c>
      <c r="AM856" t="n">
        <v>10</v>
      </c>
      <c r="AN856" t="n">
        <v>0</v>
      </c>
      <c r="AO856" t="n">
        <v>2</v>
      </c>
      <c r="AP856" t="n">
        <v>0</v>
      </c>
      <c r="AQ856" t="n">
        <v>0</v>
      </c>
      <c r="AR856" t="inlineStr">
        <is>
          <t>No</t>
        </is>
      </c>
      <c r="AS856" t="inlineStr">
        <is>
          <t>Yes</t>
        </is>
      </c>
      <c r="AT856">
        <f>HYPERLINK("http://catalog.hathitrust.org/Record/004296233","HathiTrust Record")</f>
        <v/>
      </c>
      <c r="AU856">
        <f>HYPERLINK("https://creighton-primo.hosted.exlibrisgroup.com/primo-explore/search?tab=default_tab&amp;search_scope=EVERYTHING&amp;vid=01CRU&amp;lang=en_US&amp;offset=0&amp;query=any,contains,991001343159702656","Catalog Record")</f>
        <v/>
      </c>
      <c r="AV856">
        <f>HYPERLINK("http://www.worldcat.org/oclc/48892511","WorldCat Record")</f>
        <v/>
      </c>
      <c r="AW856" t="inlineStr">
        <is>
          <t>1045619:eng</t>
        </is>
      </c>
      <c r="AX856" t="inlineStr">
        <is>
          <t>48892511</t>
        </is>
      </c>
      <c r="AY856" t="inlineStr">
        <is>
          <t>991001343159702656</t>
        </is>
      </c>
      <c r="AZ856" t="inlineStr">
        <is>
          <t>991001343159702656</t>
        </is>
      </c>
      <c r="BA856" t="inlineStr">
        <is>
          <t>2269212500002656</t>
        </is>
      </c>
      <c r="BB856" t="inlineStr">
        <is>
          <t>BOOK</t>
        </is>
      </c>
      <c r="BD856" t="inlineStr">
        <is>
          <t>9780763700621</t>
        </is>
      </c>
      <c r="BE856" t="inlineStr">
        <is>
          <t>30001005384567</t>
        </is>
      </c>
      <c r="BF856" t="inlineStr">
        <is>
          <t>893741053</t>
        </is>
      </c>
    </row>
    <row r="857">
      <c r="A857" t="inlineStr">
        <is>
          <t>No</t>
        </is>
      </c>
      <c r="B857" t="inlineStr">
        <is>
          <t>CUHSL</t>
        </is>
      </c>
      <c r="C857" t="inlineStr">
        <is>
          <t>SHELVES</t>
        </is>
      </c>
      <c r="D857" t="inlineStr">
        <is>
          <t>W 84.1 W729w 1992</t>
        </is>
      </c>
      <c r="E857" t="inlineStr">
        <is>
          <t>0                      W  0084100W  729w        1992</t>
        </is>
      </c>
      <c r="F857" t="inlineStr">
        <is>
          <t>Whose standards : consumer and professional standards in health care / Charlotte Williamson.</t>
        </is>
      </c>
      <c r="H857" t="inlineStr">
        <is>
          <t>No</t>
        </is>
      </c>
      <c r="I857" t="inlineStr">
        <is>
          <t>1</t>
        </is>
      </c>
      <c r="J857" t="inlineStr">
        <is>
          <t>No</t>
        </is>
      </c>
      <c r="K857" t="inlineStr">
        <is>
          <t>No</t>
        </is>
      </c>
      <c r="L857" t="inlineStr">
        <is>
          <t>0</t>
        </is>
      </c>
      <c r="M857" t="inlineStr">
        <is>
          <t>Williamson, Charlotte, 1932-</t>
        </is>
      </c>
      <c r="N857" t="inlineStr">
        <is>
          <t>Buckingham ; Philadelphia : Open University Press, c1992.</t>
        </is>
      </c>
      <c r="O857" t="inlineStr">
        <is>
          <t>1992</t>
        </is>
      </c>
      <c r="Q857" t="inlineStr">
        <is>
          <t>eng</t>
        </is>
      </c>
      <c r="R857" t="inlineStr">
        <is>
          <t>enk</t>
        </is>
      </c>
      <c r="S857" t="inlineStr">
        <is>
          <t>State of health series</t>
        </is>
      </c>
      <c r="T857" t="inlineStr">
        <is>
          <t xml:space="preserve">W  </t>
        </is>
      </c>
      <c r="U857" t="n">
        <v>5</v>
      </c>
      <c r="V857" t="n">
        <v>5</v>
      </c>
      <c r="W857" t="inlineStr">
        <is>
          <t>1998-10-15</t>
        </is>
      </c>
      <c r="X857" t="inlineStr">
        <is>
          <t>1998-10-15</t>
        </is>
      </c>
      <c r="Y857" t="inlineStr">
        <is>
          <t>1993-03-04</t>
        </is>
      </c>
      <c r="Z857" t="inlineStr">
        <is>
          <t>1993-03-04</t>
        </is>
      </c>
      <c r="AA857" t="n">
        <v>171</v>
      </c>
      <c r="AB857" t="n">
        <v>78</v>
      </c>
      <c r="AC857" t="n">
        <v>83</v>
      </c>
      <c r="AD857" t="n">
        <v>1</v>
      </c>
      <c r="AE857" t="n">
        <v>1</v>
      </c>
      <c r="AF857" t="n">
        <v>3</v>
      </c>
      <c r="AG857" t="n">
        <v>3</v>
      </c>
      <c r="AH857" t="n">
        <v>1</v>
      </c>
      <c r="AI857" t="n">
        <v>1</v>
      </c>
      <c r="AJ857" t="n">
        <v>1</v>
      </c>
      <c r="AK857" t="n">
        <v>1</v>
      </c>
      <c r="AL857" t="n">
        <v>3</v>
      </c>
      <c r="AM857" t="n">
        <v>3</v>
      </c>
      <c r="AN857" t="n">
        <v>0</v>
      </c>
      <c r="AO857" t="n">
        <v>0</v>
      </c>
      <c r="AP857" t="n">
        <v>0</v>
      </c>
      <c r="AQ857" t="n">
        <v>0</v>
      </c>
      <c r="AR857" t="inlineStr">
        <is>
          <t>No</t>
        </is>
      </c>
      <c r="AS857" t="inlineStr">
        <is>
          <t>No</t>
        </is>
      </c>
      <c r="AU857">
        <f>HYPERLINK("https://creighton-primo.hosted.exlibrisgroup.com/primo-explore/search?tab=default_tab&amp;search_scope=EVERYTHING&amp;vid=01CRU&amp;lang=en_US&amp;offset=0&amp;query=any,contains,991001431959702656","Catalog Record")</f>
        <v/>
      </c>
      <c r="AV857">
        <f>HYPERLINK("http://www.worldcat.org/oclc/25677438","WorldCat Record")</f>
        <v/>
      </c>
      <c r="AW857" t="inlineStr">
        <is>
          <t>1097261805:eng</t>
        </is>
      </c>
      <c r="AX857" t="inlineStr">
        <is>
          <t>25677438</t>
        </is>
      </c>
      <c r="AY857" t="inlineStr">
        <is>
          <t>991001431959702656</t>
        </is>
      </c>
      <c r="AZ857" t="inlineStr">
        <is>
          <t>991001431959702656</t>
        </is>
      </c>
      <c r="BA857" t="inlineStr">
        <is>
          <t>2269021210002656</t>
        </is>
      </c>
      <c r="BB857" t="inlineStr">
        <is>
          <t>BOOK</t>
        </is>
      </c>
      <c r="BD857" t="inlineStr">
        <is>
          <t>9780335097203</t>
        </is>
      </c>
      <c r="BE857" t="inlineStr">
        <is>
          <t>30001002529651</t>
        </is>
      </c>
      <c r="BF857" t="inlineStr">
        <is>
          <t>893460582</t>
        </is>
      </c>
    </row>
    <row r="858">
      <c r="A858" t="inlineStr">
        <is>
          <t>No</t>
        </is>
      </c>
      <c r="B858" t="inlineStr">
        <is>
          <t>CUHSL</t>
        </is>
      </c>
      <c r="C858" t="inlineStr">
        <is>
          <t>SHELVES</t>
        </is>
      </c>
      <c r="D858" t="inlineStr">
        <is>
          <t>W 84.1 W731h 1981</t>
        </is>
      </c>
      <c r="E858" t="inlineStr">
        <is>
          <t>0                      W  0084100W  731h        1981</t>
        </is>
      </c>
      <c r="F858" t="inlineStr">
        <is>
          <t>Health accounting for quality assurance : a manual for assessing &amp; improving outcomes of care / John W. Williamson, Patricia Curran Ostrow, Harriet R. Braswell.</t>
        </is>
      </c>
      <c r="H858" t="inlineStr">
        <is>
          <t>No</t>
        </is>
      </c>
      <c r="I858" t="inlineStr">
        <is>
          <t>1</t>
        </is>
      </c>
      <c r="J858" t="inlineStr">
        <is>
          <t>No</t>
        </is>
      </c>
      <c r="K858" t="inlineStr">
        <is>
          <t>No</t>
        </is>
      </c>
      <c r="L858" t="inlineStr">
        <is>
          <t>0</t>
        </is>
      </c>
      <c r="M858" t="inlineStr">
        <is>
          <t>Williamson, John W., 1931-</t>
        </is>
      </c>
      <c r="N858" t="inlineStr">
        <is>
          <t>Rockville, Md. : American Occupational Therapy Association, c1981.</t>
        </is>
      </c>
      <c r="O858" t="inlineStr">
        <is>
          <t>1981</t>
        </is>
      </c>
      <c r="Q858" t="inlineStr">
        <is>
          <t>eng</t>
        </is>
      </c>
      <c r="R858" t="inlineStr">
        <is>
          <t xml:space="preserve">xx </t>
        </is>
      </c>
      <c r="T858" t="inlineStr">
        <is>
          <t xml:space="preserve">W  </t>
        </is>
      </c>
      <c r="U858" t="n">
        <v>6</v>
      </c>
      <c r="V858" t="n">
        <v>6</v>
      </c>
      <c r="W858" t="inlineStr">
        <is>
          <t>2000-03-20</t>
        </is>
      </c>
      <c r="X858" t="inlineStr">
        <is>
          <t>2000-03-20</t>
        </is>
      </c>
      <c r="Y858" t="inlineStr">
        <is>
          <t>1987-12-22</t>
        </is>
      </c>
      <c r="Z858" t="inlineStr">
        <is>
          <t>1987-12-22</t>
        </is>
      </c>
      <c r="AA858" t="n">
        <v>46</v>
      </c>
      <c r="AB858" t="n">
        <v>36</v>
      </c>
      <c r="AC858" t="n">
        <v>38</v>
      </c>
      <c r="AD858" t="n">
        <v>1</v>
      </c>
      <c r="AE858" t="n">
        <v>1</v>
      </c>
      <c r="AF858" t="n">
        <v>0</v>
      </c>
      <c r="AG858" t="n">
        <v>0</v>
      </c>
      <c r="AH858" t="n">
        <v>0</v>
      </c>
      <c r="AI858" t="n">
        <v>0</v>
      </c>
      <c r="AJ858" t="n">
        <v>0</v>
      </c>
      <c r="AK858" t="n">
        <v>0</v>
      </c>
      <c r="AL858" t="n">
        <v>0</v>
      </c>
      <c r="AM858" t="n">
        <v>0</v>
      </c>
      <c r="AN858" t="n">
        <v>0</v>
      </c>
      <c r="AO858" t="n">
        <v>0</v>
      </c>
      <c r="AP858" t="n">
        <v>0</v>
      </c>
      <c r="AQ858" t="n">
        <v>0</v>
      </c>
      <c r="AR858" t="inlineStr">
        <is>
          <t>No</t>
        </is>
      </c>
      <c r="AS858" t="inlineStr">
        <is>
          <t>Yes</t>
        </is>
      </c>
      <c r="AT858">
        <f>HYPERLINK("http://catalog.hathitrust.org/Record/010657296","HathiTrust Record")</f>
        <v/>
      </c>
      <c r="AU858">
        <f>HYPERLINK("https://creighton-primo.hosted.exlibrisgroup.com/primo-explore/search?tab=default_tab&amp;search_scope=EVERYTHING&amp;vid=01CRU&amp;lang=en_US&amp;offset=0&amp;query=any,contains,991000659089702656","Catalog Record")</f>
        <v/>
      </c>
      <c r="AV858">
        <f>HYPERLINK("http://www.worldcat.org/oclc/10724344","WorldCat Record")</f>
        <v/>
      </c>
      <c r="AW858" t="inlineStr">
        <is>
          <t>1010442380:eng</t>
        </is>
      </c>
      <c r="AX858" t="inlineStr">
        <is>
          <t>10724344</t>
        </is>
      </c>
      <c r="AY858" t="inlineStr">
        <is>
          <t>991000659089702656</t>
        </is>
      </c>
      <c r="AZ858" t="inlineStr">
        <is>
          <t>991000659089702656</t>
        </is>
      </c>
      <c r="BA858" t="inlineStr">
        <is>
          <t>2263182530002656</t>
        </is>
      </c>
      <c r="BB858" t="inlineStr">
        <is>
          <t>BOOK</t>
        </is>
      </c>
      <c r="BD858" t="inlineStr">
        <is>
          <t>9780910317085</t>
        </is>
      </c>
      <c r="BE858" t="inlineStr">
        <is>
          <t>30001000688350</t>
        </is>
      </c>
      <c r="BF858" t="inlineStr">
        <is>
          <t>893830930</t>
        </is>
      </c>
    </row>
    <row r="859">
      <c r="A859" t="inlineStr">
        <is>
          <t>No</t>
        </is>
      </c>
      <c r="B859" t="inlineStr">
        <is>
          <t>CUHSL</t>
        </is>
      </c>
      <c r="C859" t="inlineStr">
        <is>
          <t>SHELVES</t>
        </is>
      </c>
      <c r="D859" t="inlineStr">
        <is>
          <t>W 84.3 E92 1998</t>
        </is>
      </c>
      <c r="E859" t="inlineStr">
        <is>
          <t>0                      W  0084300E  92          1998</t>
        </is>
      </c>
      <c r="F859" t="inlineStr">
        <is>
          <t>Evaluating the healthcare system : effectiveness, efficiency, and equity / Lu Ann Aday ... [et al.].</t>
        </is>
      </c>
      <c r="H859" t="inlineStr">
        <is>
          <t>No</t>
        </is>
      </c>
      <c r="I859" t="inlineStr">
        <is>
          <t>1</t>
        </is>
      </c>
      <c r="J859" t="inlineStr">
        <is>
          <t>No</t>
        </is>
      </c>
      <c r="K859" t="inlineStr">
        <is>
          <t>Yes</t>
        </is>
      </c>
      <c r="L859" t="inlineStr">
        <is>
          <t>1</t>
        </is>
      </c>
      <c r="N859" t="inlineStr">
        <is>
          <t>Chicago : Health Administration Press, c1998.</t>
        </is>
      </c>
      <c r="O859" t="inlineStr">
        <is>
          <t>1998</t>
        </is>
      </c>
      <c r="P859" t="inlineStr">
        <is>
          <t>2nd ed.</t>
        </is>
      </c>
      <c r="Q859" t="inlineStr">
        <is>
          <t>eng</t>
        </is>
      </c>
      <c r="R859" t="inlineStr">
        <is>
          <t>ilu</t>
        </is>
      </c>
      <c r="T859" t="inlineStr">
        <is>
          <t xml:space="preserve">W  </t>
        </is>
      </c>
      <c r="U859" t="n">
        <v>6</v>
      </c>
      <c r="V859" t="n">
        <v>6</v>
      </c>
      <c r="W859" t="inlineStr">
        <is>
          <t>2001-11-28</t>
        </is>
      </c>
      <c r="X859" t="inlineStr">
        <is>
          <t>2001-11-28</t>
        </is>
      </c>
      <c r="Y859" t="inlineStr">
        <is>
          <t>1999-02-12</t>
        </is>
      </c>
      <c r="Z859" t="inlineStr">
        <is>
          <t>1999-02-12</t>
        </is>
      </c>
      <c r="AA859" t="n">
        <v>218</v>
      </c>
      <c r="AB859" t="n">
        <v>189</v>
      </c>
      <c r="AC859" t="n">
        <v>1500</v>
      </c>
      <c r="AD859" t="n">
        <v>1</v>
      </c>
      <c r="AE859" t="n">
        <v>36</v>
      </c>
      <c r="AF859" t="n">
        <v>10</v>
      </c>
      <c r="AG859" t="n">
        <v>49</v>
      </c>
      <c r="AH859" t="n">
        <v>2</v>
      </c>
      <c r="AI859" t="n">
        <v>15</v>
      </c>
      <c r="AJ859" t="n">
        <v>3</v>
      </c>
      <c r="AK859" t="n">
        <v>7</v>
      </c>
      <c r="AL859" t="n">
        <v>7</v>
      </c>
      <c r="AM859" t="n">
        <v>16</v>
      </c>
      <c r="AN859" t="n">
        <v>0</v>
      </c>
      <c r="AO859" t="n">
        <v>16</v>
      </c>
      <c r="AP859" t="n">
        <v>1</v>
      </c>
      <c r="AQ859" t="n">
        <v>2</v>
      </c>
      <c r="AR859" t="inlineStr">
        <is>
          <t>No</t>
        </is>
      </c>
      <c r="AS859" t="inlineStr">
        <is>
          <t>No</t>
        </is>
      </c>
      <c r="AU859">
        <f>HYPERLINK("https://creighton-primo.hosted.exlibrisgroup.com/primo-explore/search?tab=default_tab&amp;search_scope=EVERYTHING&amp;vid=01CRU&amp;lang=en_US&amp;offset=0&amp;query=any,contains,991001561319702656","Catalog Record")</f>
        <v/>
      </c>
      <c r="AV859">
        <f>HYPERLINK("http://www.worldcat.org/oclc/38386686","WorldCat Record")</f>
        <v/>
      </c>
      <c r="AW859" t="inlineStr">
        <is>
          <t>896238895:eng</t>
        </is>
      </c>
      <c r="AX859" t="inlineStr">
        <is>
          <t>38386686</t>
        </is>
      </c>
      <c r="AY859" t="inlineStr">
        <is>
          <t>991001561319702656</t>
        </is>
      </c>
      <c r="AZ859" t="inlineStr">
        <is>
          <t>991001561319702656</t>
        </is>
      </c>
      <c r="BA859" t="inlineStr">
        <is>
          <t>2260036700002656</t>
        </is>
      </c>
      <c r="BB859" t="inlineStr">
        <is>
          <t>BOOK</t>
        </is>
      </c>
      <c r="BD859" t="inlineStr">
        <is>
          <t>9781567930795</t>
        </is>
      </c>
      <c r="BE859" t="inlineStr">
        <is>
          <t>30001004159200</t>
        </is>
      </c>
      <c r="BF859" t="inlineStr">
        <is>
          <t>893826866</t>
        </is>
      </c>
    </row>
    <row r="860">
      <c r="A860" t="inlineStr">
        <is>
          <t>No</t>
        </is>
      </c>
      <c r="B860" t="inlineStr">
        <is>
          <t>CUHSL</t>
        </is>
      </c>
      <c r="C860" t="inlineStr">
        <is>
          <t>SHELVES</t>
        </is>
      </c>
      <c r="D860" t="inlineStr">
        <is>
          <t>W 84.3 H434 1991</t>
        </is>
      </c>
      <c r="E860" t="inlineStr">
        <is>
          <t>0                      W  0084300H  434         1991</t>
        </is>
      </c>
      <c r="F860" t="inlineStr">
        <is>
          <t>Health services research : key to health policy / edited by Eli Ginzberg.</t>
        </is>
      </c>
      <c r="H860" t="inlineStr">
        <is>
          <t>No</t>
        </is>
      </c>
      <c r="I860" t="inlineStr">
        <is>
          <t>1</t>
        </is>
      </c>
      <c r="J860" t="inlineStr">
        <is>
          <t>No</t>
        </is>
      </c>
      <c r="K860" t="inlineStr">
        <is>
          <t>No</t>
        </is>
      </c>
      <c r="L860" t="inlineStr">
        <is>
          <t>0</t>
        </is>
      </c>
      <c r="N860" t="inlineStr">
        <is>
          <t>Cambridge, Mass. : Harvard University Press, c1991.</t>
        </is>
      </c>
      <c r="O860" t="inlineStr">
        <is>
          <t>1991</t>
        </is>
      </c>
      <c r="Q860" t="inlineStr">
        <is>
          <t>eng</t>
        </is>
      </c>
      <c r="R860" t="inlineStr">
        <is>
          <t>mau</t>
        </is>
      </c>
      <c r="T860" t="inlineStr">
        <is>
          <t xml:space="preserve">W  </t>
        </is>
      </c>
      <c r="U860" t="n">
        <v>7</v>
      </c>
      <c r="V860" t="n">
        <v>7</v>
      </c>
      <c r="W860" t="inlineStr">
        <is>
          <t>1995-09-13</t>
        </is>
      </c>
      <c r="X860" t="inlineStr">
        <is>
          <t>1995-09-13</t>
        </is>
      </c>
      <c r="Y860" t="inlineStr">
        <is>
          <t>1991-06-26</t>
        </is>
      </c>
      <c r="Z860" t="inlineStr">
        <is>
          <t>1991-06-26</t>
        </is>
      </c>
      <c r="AA860" t="n">
        <v>362</v>
      </c>
      <c r="AB860" t="n">
        <v>296</v>
      </c>
      <c r="AC860" t="n">
        <v>308</v>
      </c>
      <c r="AD860" t="n">
        <v>1</v>
      </c>
      <c r="AE860" t="n">
        <v>1</v>
      </c>
      <c r="AF860" t="n">
        <v>13</v>
      </c>
      <c r="AG860" t="n">
        <v>13</v>
      </c>
      <c r="AH860" t="n">
        <v>3</v>
      </c>
      <c r="AI860" t="n">
        <v>3</v>
      </c>
      <c r="AJ860" t="n">
        <v>5</v>
      </c>
      <c r="AK860" t="n">
        <v>5</v>
      </c>
      <c r="AL860" t="n">
        <v>5</v>
      </c>
      <c r="AM860" t="n">
        <v>5</v>
      </c>
      <c r="AN860" t="n">
        <v>0</v>
      </c>
      <c r="AO860" t="n">
        <v>0</v>
      </c>
      <c r="AP860" t="n">
        <v>2</v>
      </c>
      <c r="AQ860" t="n">
        <v>2</v>
      </c>
      <c r="AR860" t="inlineStr">
        <is>
          <t>No</t>
        </is>
      </c>
      <c r="AS860" t="inlineStr">
        <is>
          <t>No</t>
        </is>
      </c>
      <c r="AU860">
        <f>HYPERLINK("https://creighton-primo.hosted.exlibrisgroup.com/primo-explore/search?tab=default_tab&amp;search_scope=EVERYTHING&amp;vid=01CRU&amp;lang=en_US&amp;offset=0&amp;query=any,contains,991000940369702656","Catalog Record")</f>
        <v/>
      </c>
      <c r="AV860">
        <f>HYPERLINK("http://www.worldcat.org/oclc/21973604","WorldCat Record")</f>
        <v/>
      </c>
      <c r="AW860" t="inlineStr">
        <is>
          <t>836716474:eng</t>
        </is>
      </c>
      <c r="AX860" t="inlineStr">
        <is>
          <t>21973604</t>
        </is>
      </c>
      <c r="AY860" t="inlineStr">
        <is>
          <t>991000940369702656</t>
        </is>
      </c>
      <c r="AZ860" t="inlineStr">
        <is>
          <t>991000940369702656</t>
        </is>
      </c>
      <c r="BA860" t="inlineStr">
        <is>
          <t>2266549880002656</t>
        </is>
      </c>
      <c r="BB860" t="inlineStr">
        <is>
          <t>BOOK</t>
        </is>
      </c>
      <c r="BD860" t="inlineStr">
        <is>
          <t>9780674385757</t>
        </is>
      </c>
      <c r="BE860" t="inlineStr">
        <is>
          <t>30001002192484</t>
        </is>
      </c>
      <c r="BF860" t="inlineStr">
        <is>
          <t>893727103</t>
        </is>
      </c>
    </row>
    <row r="861">
      <c r="A861" t="inlineStr">
        <is>
          <t>No</t>
        </is>
      </c>
      <c r="B861" t="inlineStr">
        <is>
          <t>CUHSL</t>
        </is>
      </c>
      <c r="C861" t="inlineStr">
        <is>
          <t>SHELVES</t>
        </is>
      </c>
      <c r="D861" t="inlineStr">
        <is>
          <t>W 84.3 I347 1992</t>
        </is>
      </c>
      <c r="E861" t="inlineStr">
        <is>
          <t>0                      W  0084300I  347         1992</t>
        </is>
      </c>
      <c r="F861" t="inlineStr">
        <is>
          <t>Improving health policy and management : nine critical research issues for the 1990s / edited by Stephen M. Shortell, Uwe E. Reinhardt.</t>
        </is>
      </c>
      <c r="H861" t="inlineStr">
        <is>
          <t>No</t>
        </is>
      </c>
      <c r="I861" t="inlineStr">
        <is>
          <t>1</t>
        </is>
      </c>
      <c r="J861" t="inlineStr">
        <is>
          <t>No</t>
        </is>
      </c>
      <c r="K861" t="inlineStr">
        <is>
          <t>No</t>
        </is>
      </c>
      <c r="L861" t="inlineStr">
        <is>
          <t>0</t>
        </is>
      </c>
      <c r="N861" t="inlineStr">
        <is>
          <t>Ann Arbor, Mich. : AHSR/HAP, c1992.</t>
        </is>
      </c>
      <c r="O861" t="inlineStr">
        <is>
          <t>1992</t>
        </is>
      </c>
      <c r="Q861" t="inlineStr">
        <is>
          <t>eng</t>
        </is>
      </c>
      <c r="R861" t="inlineStr">
        <is>
          <t>miu</t>
        </is>
      </c>
      <c r="S861" t="inlineStr">
        <is>
          <t>The Baxter health policy review.</t>
        </is>
      </c>
      <c r="T861" t="inlineStr">
        <is>
          <t xml:space="preserve">W  </t>
        </is>
      </c>
      <c r="U861" t="n">
        <v>11</v>
      </c>
      <c r="V861" t="n">
        <v>11</v>
      </c>
      <c r="W861" t="inlineStr">
        <is>
          <t>2004-11-16</t>
        </is>
      </c>
      <c r="X861" t="inlineStr">
        <is>
          <t>2004-11-16</t>
        </is>
      </c>
      <c r="Y861" t="inlineStr">
        <is>
          <t>1993-06-21</t>
        </is>
      </c>
      <c r="Z861" t="inlineStr">
        <is>
          <t>1993-06-21</t>
        </is>
      </c>
      <c r="AA861" t="n">
        <v>349</v>
      </c>
      <c r="AB861" t="n">
        <v>306</v>
      </c>
      <c r="AC861" t="n">
        <v>313</v>
      </c>
      <c r="AD861" t="n">
        <v>2</v>
      </c>
      <c r="AE861" t="n">
        <v>2</v>
      </c>
      <c r="AF861" t="n">
        <v>23</v>
      </c>
      <c r="AG861" t="n">
        <v>23</v>
      </c>
      <c r="AH861" t="n">
        <v>7</v>
      </c>
      <c r="AI861" t="n">
        <v>7</v>
      </c>
      <c r="AJ861" t="n">
        <v>6</v>
      </c>
      <c r="AK861" t="n">
        <v>6</v>
      </c>
      <c r="AL861" t="n">
        <v>12</v>
      </c>
      <c r="AM861" t="n">
        <v>12</v>
      </c>
      <c r="AN861" t="n">
        <v>1</v>
      </c>
      <c r="AO861" t="n">
        <v>1</v>
      </c>
      <c r="AP861" t="n">
        <v>4</v>
      </c>
      <c r="AQ861" t="n">
        <v>4</v>
      </c>
      <c r="AR861" t="inlineStr">
        <is>
          <t>No</t>
        </is>
      </c>
      <c r="AS861" t="inlineStr">
        <is>
          <t>Yes</t>
        </is>
      </c>
      <c r="AT861">
        <f>HYPERLINK("http://catalog.hathitrust.org/Record/002551831","HathiTrust Record")</f>
        <v/>
      </c>
      <c r="AU861">
        <f>HYPERLINK("https://creighton-primo.hosted.exlibrisgroup.com/primo-explore/search?tab=default_tab&amp;search_scope=EVERYTHING&amp;vid=01CRU&amp;lang=en_US&amp;offset=0&amp;query=any,contains,991001480849702656","Catalog Record")</f>
        <v/>
      </c>
      <c r="AV861">
        <f>HYPERLINK("http://www.worldcat.org/oclc/25200488","WorldCat Record")</f>
        <v/>
      </c>
      <c r="AW861" t="inlineStr">
        <is>
          <t>428312386:eng</t>
        </is>
      </c>
      <c r="AX861" t="inlineStr">
        <is>
          <t>25200488</t>
        </is>
      </c>
      <c r="AY861" t="inlineStr">
        <is>
          <t>991001480849702656</t>
        </is>
      </c>
      <c r="AZ861" t="inlineStr">
        <is>
          <t>991001480849702656</t>
        </is>
      </c>
      <c r="BA861" t="inlineStr">
        <is>
          <t>2262715310002656</t>
        </is>
      </c>
      <c r="BB861" t="inlineStr">
        <is>
          <t>BOOK</t>
        </is>
      </c>
      <c r="BD861" t="inlineStr">
        <is>
          <t>9780910701822</t>
        </is>
      </c>
      <c r="BE861" t="inlineStr">
        <is>
          <t>30001002569368</t>
        </is>
      </c>
      <c r="BF861" t="inlineStr">
        <is>
          <t>893284846</t>
        </is>
      </c>
    </row>
    <row r="862">
      <c r="A862" t="inlineStr">
        <is>
          <t>No</t>
        </is>
      </c>
      <c r="B862" t="inlineStr">
        <is>
          <t>CUHSL</t>
        </is>
      </c>
      <c r="C862" t="inlineStr">
        <is>
          <t>SHELVES</t>
        </is>
      </c>
      <c r="D862" t="inlineStr">
        <is>
          <t>W84.3 M647r 2001</t>
        </is>
      </c>
      <c r="E862" t="inlineStr">
        <is>
          <t>0                      W  0084300M  647r        2001</t>
        </is>
      </c>
      <c r="F862" t="inlineStr">
        <is>
          <t>Risk stratification : a practical guide for clinicians / Charles C. Miller III, Michael J. Reardon, Hazim J. Safi.</t>
        </is>
      </c>
      <c r="H862" t="inlineStr">
        <is>
          <t>No</t>
        </is>
      </c>
      <c r="I862" t="inlineStr">
        <is>
          <t>1</t>
        </is>
      </c>
      <c r="J862" t="inlineStr">
        <is>
          <t>No</t>
        </is>
      </c>
      <c r="K862" t="inlineStr">
        <is>
          <t>No</t>
        </is>
      </c>
      <c r="L862" t="inlineStr">
        <is>
          <t>0</t>
        </is>
      </c>
      <c r="M862" t="inlineStr">
        <is>
          <t>Miller, Charles C. (Charles Claude), 1961-</t>
        </is>
      </c>
      <c r="N862" t="inlineStr">
        <is>
          <t>Cambridge, UK ; New York, NY : Cambridge University Press, 2001.</t>
        </is>
      </c>
      <c r="O862" t="inlineStr">
        <is>
          <t>2001</t>
        </is>
      </c>
      <c r="Q862" t="inlineStr">
        <is>
          <t>eng</t>
        </is>
      </c>
      <c r="R862" t="inlineStr">
        <is>
          <t>enk</t>
        </is>
      </c>
      <c r="T862" t="inlineStr">
        <is>
          <t xml:space="preserve">W  </t>
        </is>
      </c>
      <c r="U862" t="n">
        <v>0</v>
      </c>
      <c r="V862" t="n">
        <v>0</v>
      </c>
      <c r="W862" t="inlineStr">
        <is>
          <t>2003-06-09</t>
        </is>
      </c>
      <c r="X862" t="inlineStr">
        <is>
          <t>2003-06-09</t>
        </is>
      </c>
      <c r="Y862" t="inlineStr">
        <is>
          <t>2003-06-06</t>
        </is>
      </c>
      <c r="Z862" t="inlineStr">
        <is>
          <t>2003-06-06</t>
        </is>
      </c>
      <c r="AA862" t="n">
        <v>127</v>
      </c>
      <c r="AB862" t="n">
        <v>85</v>
      </c>
      <c r="AC862" t="n">
        <v>102</v>
      </c>
      <c r="AD862" t="n">
        <v>1</v>
      </c>
      <c r="AE862" t="n">
        <v>1</v>
      </c>
      <c r="AF862" t="n">
        <v>2</v>
      </c>
      <c r="AG862" t="n">
        <v>2</v>
      </c>
      <c r="AH862" t="n">
        <v>1</v>
      </c>
      <c r="AI862" t="n">
        <v>1</v>
      </c>
      <c r="AJ862" t="n">
        <v>1</v>
      </c>
      <c r="AK862" t="n">
        <v>1</v>
      </c>
      <c r="AL862" t="n">
        <v>0</v>
      </c>
      <c r="AM862" t="n">
        <v>0</v>
      </c>
      <c r="AN862" t="n">
        <v>0</v>
      </c>
      <c r="AO862" t="n">
        <v>0</v>
      </c>
      <c r="AP862" t="n">
        <v>0</v>
      </c>
      <c r="AQ862" t="n">
        <v>0</v>
      </c>
      <c r="AR862" t="inlineStr">
        <is>
          <t>No</t>
        </is>
      </c>
      <c r="AS862" t="inlineStr">
        <is>
          <t>No</t>
        </is>
      </c>
      <c r="AU862">
        <f>HYPERLINK("https://creighton-primo.hosted.exlibrisgroup.com/primo-explore/search?tab=default_tab&amp;search_scope=EVERYTHING&amp;vid=01CRU&amp;lang=en_US&amp;offset=0&amp;query=any,contains,991000349139702656","Catalog Record")</f>
        <v/>
      </c>
      <c r="AV862">
        <f>HYPERLINK("http://www.worldcat.org/oclc/45682563","WorldCat Record")</f>
        <v/>
      </c>
      <c r="AW862" t="inlineStr">
        <is>
          <t>837010673:eng</t>
        </is>
      </c>
      <c r="AX862" t="inlineStr">
        <is>
          <t>45682563</t>
        </is>
      </c>
      <c r="AY862" t="inlineStr">
        <is>
          <t>991000349139702656</t>
        </is>
      </c>
      <c r="AZ862" t="inlineStr">
        <is>
          <t>991000349139702656</t>
        </is>
      </c>
      <c r="BA862" t="inlineStr">
        <is>
          <t>2261419780002656</t>
        </is>
      </c>
      <c r="BB862" t="inlineStr">
        <is>
          <t>BOOK</t>
        </is>
      </c>
      <c r="BD862" t="inlineStr">
        <is>
          <t>9780521669450</t>
        </is>
      </c>
      <c r="BE862" t="inlineStr">
        <is>
          <t>30001004502847</t>
        </is>
      </c>
      <c r="BF862" t="inlineStr">
        <is>
          <t>893633814</t>
        </is>
      </c>
    </row>
    <row r="863">
      <c r="A863" t="inlineStr">
        <is>
          <t>No</t>
        </is>
      </c>
      <c r="B863" t="inlineStr">
        <is>
          <t>CUHSL</t>
        </is>
      </c>
      <c r="C863" t="inlineStr">
        <is>
          <t>SHELVES</t>
        </is>
      </c>
      <c r="D863" t="inlineStr">
        <is>
          <t>W 84.3 V457e 1998</t>
        </is>
      </c>
      <c r="E863" t="inlineStr">
        <is>
          <t>0                      W  0084300V  457e        1998</t>
        </is>
      </c>
      <c r="F863" t="inlineStr">
        <is>
          <t>Evaluation &amp; decision making for health services / James E. Veney, Arnold D. Kaluzny.</t>
        </is>
      </c>
      <c r="H863" t="inlineStr">
        <is>
          <t>No</t>
        </is>
      </c>
      <c r="I863" t="inlineStr">
        <is>
          <t>1</t>
        </is>
      </c>
      <c r="J863" t="inlineStr">
        <is>
          <t>No</t>
        </is>
      </c>
      <c r="K863" t="inlineStr">
        <is>
          <t>No</t>
        </is>
      </c>
      <c r="L863" t="inlineStr">
        <is>
          <t>1</t>
        </is>
      </c>
      <c r="M863" t="inlineStr">
        <is>
          <t>Veney, James E.</t>
        </is>
      </c>
      <c r="N863" t="inlineStr">
        <is>
          <t>Chicago, Ill. : Health Administration Press, c1998.</t>
        </is>
      </c>
      <c r="O863" t="inlineStr">
        <is>
          <t>1998</t>
        </is>
      </c>
      <c r="P863" t="inlineStr">
        <is>
          <t>3rd ed.</t>
        </is>
      </c>
      <c r="Q863" t="inlineStr">
        <is>
          <t>eng</t>
        </is>
      </c>
      <c r="R863" t="inlineStr">
        <is>
          <t>ilu</t>
        </is>
      </c>
      <c r="T863" t="inlineStr">
        <is>
          <t xml:space="preserve">W  </t>
        </is>
      </c>
      <c r="U863" t="n">
        <v>5</v>
      </c>
      <c r="V863" t="n">
        <v>5</v>
      </c>
      <c r="W863" t="inlineStr">
        <is>
          <t>1999-11-29</t>
        </is>
      </c>
      <c r="X863" t="inlineStr">
        <is>
          <t>1999-11-29</t>
        </is>
      </c>
      <c r="Y863" t="inlineStr">
        <is>
          <t>1999-07-09</t>
        </is>
      </c>
      <c r="Z863" t="inlineStr">
        <is>
          <t>1999-07-09</t>
        </is>
      </c>
      <c r="AA863" t="n">
        <v>111</v>
      </c>
      <c r="AB863" t="n">
        <v>97</v>
      </c>
      <c r="AC863" t="n">
        <v>1081</v>
      </c>
      <c r="AD863" t="n">
        <v>1</v>
      </c>
      <c r="AE863" t="n">
        <v>28</v>
      </c>
      <c r="AF863" t="n">
        <v>7</v>
      </c>
      <c r="AG863" t="n">
        <v>34</v>
      </c>
      <c r="AH863" t="n">
        <v>2</v>
      </c>
      <c r="AI863" t="n">
        <v>11</v>
      </c>
      <c r="AJ863" t="n">
        <v>3</v>
      </c>
      <c r="AK863" t="n">
        <v>5</v>
      </c>
      <c r="AL863" t="n">
        <v>5</v>
      </c>
      <c r="AM863" t="n">
        <v>10</v>
      </c>
      <c r="AN863" t="n">
        <v>0</v>
      </c>
      <c r="AO863" t="n">
        <v>13</v>
      </c>
      <c r="AP863" t="n">
        <v>0</v>
      </c>
      <c r="AQ863" t="n">
        <v>0</v>
      </c>
      <c r="AR863" t="inlineStr">
        <is>
          <t>No</t>
        </is>
      </c>
      <c r="AS863" t="inlineStr">
        <is>
          <t>Yes</t>
        </is>
      </c>
      <c r="AT863">
        <f>HYPERLINK("http://catalog.hathitrust.org/Record/004134802","HathiTrust Record")</f>
        <v/>
      </c>
      <c r="AU863">
        <f>HYPERLINK("https://creighton-primo.hosted.exlibrisgroup.com/primo-explore/search?tab=default_tab&amp;search_scope=EVERYTHING&amp;vid=01CRU&amp;lang=en_US&amp;offset=0&amp;query=any,contains,991000794909702656","Catalog Record")</f>
        <v/>
      </c>
      <c r="AV863">
        <f>HYPERLINK("http://www.worldcat.org/oclc/39069333","WorldCat Record")</f>
        <v/>
      </c>
      <c r="AW863" t="inlineStr">
        <is>
          <t>43400539:eng</t>
        </is>
      </c>
      <c r="AX863" t="inlineStr">
        <is>
          <t>39069333</t>
        </is>
      </c>
      <c r="AY863" t="inlineStr">
        <is>
          <t>991000794909702656</t>
        </is>
      </c>
      <c r="AZ863" t="inlineStr">
        <is>
          <t>991000794909702656</t>
        </is>
      </c>
      <c r="BA863" t="inlineStr">
        <is>
          <t>2259842600002656</t>
        </is>
      </c>
      <c r="BB863" t="inlineStr">
        <is>
          <t>BOOK</t>
        </is>
      </c>
      <c r="BD863" t="inlineStr">
        <is>
          <t>9781567930887</t>
        </is>
      </c>
      <c r="BE863" t="inlineStr">
        <is>
          <t>30001004077907</t>
        </is>
      </c>
      <c r="BF863" t="inlineStr">
        <is>
          <t>893368569</t>
        </is>
      </c>
    </row>
    <row r="864">
      <c r="A864" t="inlineStr">
        <is>
          <t>No</t>
        </is>
      </c>
      <c r="B864" t="inlineStr">
        <is>
          <t>CUHSL</t>
        </is>
      </c>
      <c r="C864" t="inlineStr">
        <is>
          <t>SHELVES</t>
        </is>
      </c>
      <c r="D864" t="inlineStr">
        <is>
          <t>W 84.3 V624w 1993</t>
        </is>
      </c>
      <c r="E864" t="inlineStr">
        <is>
          <t>0                      W  0084300V  624w        1993</t>
        </is>
      </c>
      <c r="F864" t="inlineStr">
        <is>
          <t>What works / Spencer Vibbert.</t>
        </is>
      </c>
      <c r="H864" t="inlineStr">
        <is>
          <t>No</t>
        </is>
      </c>
      <c r="I864" t="inlineStr">
        <is>
          <t>1</t>
        </is>
      </c>
      <c r="J864" t="inlineStr">
        <is>
          <t>No</t>
        </is>
      </c>
      <c r="K864" t="inlineStr">
        <is>
          <t>No</t>
        </is>
      </c>
      <c r="L864" t="inlineStr">
        <is>
          <t>0</t>
        </is>
      </c>
      <c r="M864" t="inlineStr">
        <is>
          <t>Vibbert, Spencer.</t>
        </is>
      </c>
      <c r="N864" t="inlineStr">
        <is>
          <t>[Knoxville, Tenn.] : Whittle Direct Books, c1993.</t>
        </is>
      </c>
      <c r="O864" t="inlineStr">
        <is>
          <t>1993</t>
        </is>
      </c>
      <c r="Q864" t="inlineStr">
        <is>
          <t>eng</t>
        </is>
      </c>
      <c r="R864" t="inlineStr">
        <is>
          <t>tnu</t>
        </is>
      </c>
      <c r="S864" t="inlineStr">
        <is>
          <t>The Grand Rounds Press, 1053-6620</t>
        </is>
      </c>
      <c r="T864" t="inlineStr">
        <is>
          <t xml:space="preserve">W  </t>
        </is>
      </c>
      <c r="U864" t="n">
        <v>3</v>
      </c>
      <c r="V864" t="n">
        <v>3</v>
      </c>
      <c r="W864" t="inlineStr">
        <is>
          <t>1995-07-11</t>
        </is>
      </c>
      <c r="X864" t="inlineStr">
        <is>
          <t>1995-07-11</t>
        </is>
      </c>
      <c r="Y864" t="inlineStr">
        <is>
          <t>1993-08-27</t>
        </is>
      </c>
      <c r="Z864" t="inlineStr">
        <is>
          <t>1993-08-27</t>
        </is>
      </c>
      <c r="AA864" t="n">
        <v>98</v>
      </c>
      <c r="AB864" t="n">
        <v>98</v>
      </c>
      <c r="AC864" t="n">
        <v>103</v>
      </c>
      <c r="AD864" t="n">
        <v>1</v>
      </c>
      <c r="AE864" t="n">
        <v>1</v>
      </c>
      <c r="AF864" t="n">
        <v>0</v>
      </c>
      <c r="AG864" t="n">
        <v>0</v>
      </c>
      <c r="AH864" t="n">
        <v>0</v>
      </c>
      <c r="AI864" t="n">
        <v>0</v>
      </c>
      <c r="AJ864" t="n">
        <v>0</v>
      </c>
      <c r="AK864" t="n">
        <v>0</v>
      </c>
      <c r="AL864" t="n">
        <v>0</v>
      </c>
      <c r="AM864" t="n">
        <v>0</v>
      </c>
      <c r="AN864" t="n">
        <v>0</v>
      </c>
      <c r="AO864" t="n">
        <v>0</v>
      </c>
      <c r="AP864" t="n">
        <v>0</v>
      </c>
      <c r="AQ864" t="n">
        <v>0</v>
      </c>
      <c r="AR864" t="inlineStr">
        <is>
          <t>No</t>
        </is>
      </c>
      <c r="AS864" t="inlineStr">
        <is>
          <t>No</t>
        </is>
      </c>
      <c r="AU864">
        <f>HYPERLINK("https://creighton-primo.hosted.exlibrisgroup.com/primo-explore/search?tab=default_tab&amp;search_scope=EVERYTHING&amp;vid=01CRU&amp;lang=en_US&amp;offset=0&amp;query=any,contains,991001509819702656","Catalog Record")</f>
        <v/>
      </c>
      <c r="AV864">
        <f>HYPERLINK("http://www.worldcat.org/oclc/28938224","WorldCat Record")</f>
        <v/>
      </c>
      <c r="AW864" t="inlineStr">
        <is>
          <t>5164550648:eng</t>
        </is>
      </c>
      <c r="AX864" t="inlineStr">
        <is>
          <t>28938224</t>
        </is>
      </c>
      <c r="AY864" t="inlineStr">
        <is>
          <t>991001509819702656</t>
        </is>
      </c>
      <c r="AZ864" t="inlineStr">
        <is>
          <t>991001509819702656</t>
        </is>
      </c>
      <c r="BA864" t="inlineStr">
        <is>
          <t>2271151960002656</t>
        </is>
      </c>
      <c r="BB864" t="inlineStr">
        <is>
          <t>BOOK</t>
        </is>
      </c>
      <c r="BD864" t="inlineStr">
        <is>
          <t>9781879736139</t>
        </is>
      </c>
      <c r="BE864" t="inlineStr">
        <is>
          <t>30001002600635</t>
        </is>
      </c>
      <c r="BF864" t="inlineStr">
        <is>
          <t>893816480</t>
        </is>
      </c>
    </row>
    <row r="865">
      <c r="A865" t="inlineStr">
        <is>
          <t>No</t>
        </is>
      </c>
      <c r="B865" t="inlineStr">
        <is>
          <t>CUHSL</t>
        </is>
      </c>
      <c r="C865" t="inlineStr">
        <is>
          <t>SHELVES</t>
        </is>
      </c>
      <c r="D865" t="inlineStr">
        <is>
          <t>W 84.5 C55c 1978</t>
        </is>
      </c>
      <c r="E865" t="inlineStr">
        <is>
          <t>0                      W  0084500C  55c         1978</t>
        </is>
      </c>
      <c r="F865" t="inlineStr">
        <is>
          <t>Community medicine : some new perspectives / Rodney M. Coe, Max Pepper.</t>
        </is>
      </c>
      <c r="H865" t="inlineStr">
        <is>
          <t>No</t>
        </is>
      </c>
      <c r="I865" t="inlineStr">
        <is>
          <t>1</t>
        </is>
      </c>
      <c r="J865" t="inlineStr">
        <is>
          <t>No</t>
        </is>
      </c>
      <c r="K865" t="inlineStr">
        <is>
          <t>No</t>
        </is>
      </c>
      <c r="L865" t="inlineStr">
        <is>
          <t>0</t>
        </is>
      </c>
      <c r="M865" t="inlineStr">
        <is>
          <t>Coe, Rodney M.</t>
        </is>
      </c>
      <c r="N865" t="inlineStr">
        <is>
          <t>New York : McGraw-Hill, c1978.</t>
        </is>
      </c>
      <c r="O865" t="inlineStr">
        <is>
          <t>1978</t>
        </is>
      </c>
      <c r="Q865" t="inlineStr">
        <is>
          <t>eng</t>
        </is>
      </c>
      <c r="R865" t="inlineStr">
        <is>
          <t>nyu</t>
        </is>
      </c>
      <c r="T865" t="inlineStr">
        <is>
          <t xml:space="preserve">W  </t>
        </is>
      </c>
      <c r="U865" t="n">
        <v>4</v>
      </c>
      <c r="V865" t="n">
        <v>4</v>
      </c>
      <c r="W865" t="inlineStr">
        <is>
          <t>2001-03-07</t>
        </is>
      </c>
      <c r="X865" t="inlineStr">
        <is>
          <t>2001-03-07</t>
        </is>
      </c>
      <c r="Y865" t="inlineStr">
        <is>
          <t>1987-12-22</t>
        </is>
      </c>
      <c r="Z865" t="inlineStr">
        <is>
          <t>1987-12-22</t>
        </is>
      </c>
      <c r="AA865" t="n">
        <v>137</v>
      </c>
      <c r="AB865" t="n">
        <v>89</v>
      </c>
      <c r="AC865" t="n">
        <v>89</v>
      </c>
      <c r="AD865" t="n">
        <v>1</v>
      </c>
      <c r="AE865" t="n">
        <v>1</v>
      </c>
      <c r="AF865" t="n">
        <v>3</v>
      </c>
      <c r="AG865" t="n">
        <v>3</v>
      </c>
      <c r="AH865" t="n">
        <v>0</v>
      </c>
      <c r="AI865" t="n">
        <v>0</v>
      </c>
      <c r="AJ865" t="n">
        <v>0</v>
      </c>
      <c r="AK865" t="n">
        <v>0</v>
      </c>
      <c r="AL865" t="n">
        <v>2</v>
      </c>
      <c r="AM865" t="n">
        <v>2</v>
      </c>
      <c r="AN865" t="n">
        <v>0</v>
      </c>
      <c r="AO865" t="n">
        <v>0</v>
      </c>
      <c r="AP865" t="n">
        <v>1</v>
      </c>
      <c r="AQ865" t="n">
        <v>1</v>
      </c>
      <c r="AR865" t="inlineStr">
        <is>
          <t>No</t>
        </is>
      </c>
      <c r="AS865" t="inlineStr">
        <is>
          <t>No</t>
        </is>
      </c>
      <c r="AU865">
        <f>HYPERLINK("https://creighton-primo.hosted.exlibrisgroup.com/primo-explore/search?tab=default_tab&amp;search_scope=EVERYTHING&amp;vid=01CRU&amp;lang=en_US&amp;offset=0&amp;query=any,contains,991000659129702656","Catalog Record")</f>
        <v/>
      </c>
      <c r="AV865">
        <f>HYPERLINK("http://www.worldcat.org/oclc/3669342","WorldCat Record")</f>
        <v/>
      </c>
      <c r="AW865" t="inlineStr">
        <is>
          <t>347086333:eng</t>
        </is>
      </c>
      <c r="AX865" t="inlineStr">
        <is>
          <t>3669342</t>
        </is>
      </c>
      <c r="AY865" t="inlineStr">
        <is>
          <t>991000659129702656</t>
        </is>
      </c>
      <c r="AZ865" t="inlineStr">
        <is>
          <t>991000659129702656</t>
        </is>
      </c>
      <c r="BA865" t="inlineStr">
        <is>
          <t>2262067240002656</t>
        </is>
      </c>
      <c r="BB865" t="inlineStr">
        <is>
          <t>BOOK</t>
        </is>
      </c>
      <c r="BD865" t="inlineStr">
        <is>
          <t>9780070115484</t>
        </is>
      </c>
      <c r="BE865" t="inlineStr">
        <is>
          <t>30001000688376</t>
        </is>
      </c>
      <c r="BF865" t="inlineStr">
        <is>
          <t>893368142</t>
        </is>
      </c>
    </row>
    <row r="866">
      <c r="A866" t="inlineStr">
        <is>
          <t>No</t>
        </is>
      </c>
      <c r="B866" t="inlineStr">
        <is>
          <t>CUHSL</t>
        </is>
      </c>
      <c r="C866" t="inlineStr">
        <is>
          <t>SHELVES</t>
        </is>
      </c>
      <c r="D866" t="inlineStr">
        <is>
          <t>W 84.5 G558c 1987</t>
        </is>
      </c>
      <c r="E866" t="inlineStr">
        <is>
          <t>0                      W  0084500G  558c        1987</t>
        </is>
      </c>
      <c r="F866" t="inlineStr">
        <is>
          <t>Collaborative health care : a family-oriented model / Michael L. Glenn.</t>
        </is>
      </c>
      <c r="H866" t="inlineStr">
        <is>
          <t>No</t>
        </is>
      </c>
      <c r="I866" t="inlineStr">
        <is>
          <t>1</t>
        </is>
      </c>
      <c r="J866" t="inlineStr">
        <is>
          <t>No</t>
        </is>
      </c>
      <c r="K866" t="inlineStr">
        <is>
          <t>No</t>
        </is>
      </c>
      <c r="L866" t="inlineStr">
        <is>
          <t>0</t>
        </is>
      </c>
      <c r="M866" t="inlineStr">
        <is>
          <t>Glenn, Michael L. (Michael Lyon), 1938-</t>
        </is>
      </c>
      <c r="N866" t="inlineStr">
        <is>
          <t>New York : Praeger, c1987.</t>
        </is>
      </c>
      <c r="O866" t="inlineStr">
        <is>
          <t>1987</t>
        </is>
      </c>
      <c r="Q866" t="inlineStr">
        <is>
          <t>eng</t>
        </is>
      </c>
      <c r="R866" t="inlineStr">
        <is>
          <t>xxu</t>
        </is>
      </c>
      <c r="T866" t="inlineStr">
        <is>
          <t xml:space="preserve">W  </t>
        </is>
      </c>
      <c r="U866" t="n">
        <v>2</v>
      </c>
      <c r="V866" t="n">
        <v>2</v>
      </c>
      <c r="W866" t="inlineStr">
        <is>
          <t>1990-12-12</t>
        </is>
      </c>
      <c r="X866" t="inlineStr">
        <is>
          <t>1990-12-12</t>
        </is>
      </c>
      <c r="Y866" t="inlineStr">
        <is>
          <t>1990-12-12</t>
        </is>
      </c>
      <c r="Z866" t="inlineStr">
        <is>
          <t>1990-12-12</t>
        </is>
      </c>
      <c r="AA866" t="n">
        <v>95</v>
      </c>
      <c r="AB866" t="n">
        <v>70</v>
      </c>
      <c r="AC866" t="n">
        <v>84</v>
      </c>
      <c r="AD866" t="n">
        <v>1</v>
      </c>
      <c r="AE866" t="n">
        <v>1</v>
      </c>
      <c r="AF866" t="n">
        <v>5</v>
      </c>
      <c r="AG866" t="n">
        <v>5</v>
      </c>
      <c r="AH866" t="n">
        <v>2</v>
      </c>
      <c r="AI866" t="n">
        <v>2</v>
      </c>
      <c r="AJ866" t="n">
        <v>0</v>
      </c>
      <c r="AK866" t="n">
        <v>0</v>
      </c>
      <c r="AL866" t="n">
        <v>5</v>
      </c>
      <c r="AM866" t="n">
        <v>5</v>
      </c>
      <c r="AN866" t="n">
        <v>0</v>
      </c>
      <c r="AO866" t="n">
        <v>0</v>
      </c>
      <c r="AP866" t="n">
        <v>0</v>
      </c>
      <c r="AQ866" t="n">
        <v>0</v>
      </c>
      <c r="AR866" t="inlineStr">
        <is>
          <t>No</t>
        </is>
      </c>
      <c r="AS866" t="inlineStr">
        <is>
          <t>Yes</t>
        </is>
      </c>
      <c r="AT866">
        <f>HYPERLINK("http://catalog.hathitrust.org/Record/000930684","HathiTrust Record")</f>
        <v/>
      </c>
      <c r="AU866">
        <f>HYPERLINK("https://creighton-primo.hosted.exlibrisgroup.com/primo-explore/search?tab=default_tab&amp;search_scope=EVERYTHING&amp;vid=01CRU&amp;lang=en_US&amp;offset=0&amp;query=any,contains,991000812289702656","Catalog Record")</f>
        <v/>
      </c>
      <c r="AV866">
        <f>HYPERLINK("http://www.worldcat.org/oclc/15252047","WorldCat Record")</f>
        <v/>
      </c>
      <c r="AW866" t="inlineStr">
        <is>
          <t>836709563:eng</t>
        </is>
      </c>
      <c r="AX866" t="inlineStr">
        <is>
          <t>15252047</t>
        </is>
      </c>
      <c r="AY866" t="inlineStr">
        <is>
          <t>991000812289702656</t>
        </is>
      </c>
      <c r="AZ866" t="inlineStr">
        <is>
          <t>991000812289702656</t>
        </is>
      </c>
      <c r="BA866" t="inlineStr">
        <is>
          <t>2266490770002656</t>
        </is>
      </c>
      <c r="BB866" t="inlineStr">
        <is>
          <t>BOOK</t>
        </is>
      </c>
      <c r="BD866" t="inlineStr">
        <is>
          <t>9780275923198</t>
        </is>
      </c>
      <c r="BE866" t="inlineStr">
        <is>
          <t>30001002085084</t>
        </is>
      </c>
      <c r="BF866" t="inlineStr">
        <is>
          <t>893148377</t>
        </is>
      </c>
    </row>
    <row r="867">
      <c r="A867" t="inlineStr">
        <is>
          <t>No</t>
        </is>
      </c>
      <c r="B867" t="inlineStr">
        <is>
          <t>CUHSL</t>
        </is>
      </c>
      <c r="C867" t="inlineStr">
        <is>
          <t>SHELVES</t>
        </is>
      </c>
      <c r="D867" t="inlineStr">
        <is>
          <t>W 84.5 P993 2003</t>
        </is>
      </c>
      <c r="E867" t="inlineStr">
        <is>
          <t>0                      W  0084500P  993         2003</t>
        </is>
      </c>
      <c r="F867" t="inlineStr">
        <is>
          <t>Putting patients first : designing and practicing patient-centered care / Susan B. Frampton, Laura Gilpin, Patrick Charmel, editors.</t>
        </is>
      </c>
      <c r="H867" t="inlineStr">
        <is>
          <t>No</t>
        </is>
      </c>
      <c r="I867" t="inlineStr">
        <is>
          <t>1</t>
        </is>
      </c>
      <c r="J867" t="inlineStr">
        <is>
          <t>No</t>
        </is>
      </c>
      <c r="K867" t="inlineStr">
        <is>
          <t>No</t>
        </is>
      </c>
      <c r="L867" t="inlineStr">
        <is>
          <t>0</t>
        </is>
      </c>
      <c r="N867" t="inlineStr">
        <is>
          <t>San Francisco : Jossey-Bass, c2003.</t>
        </is>
      </c>
      <c r="O867" t="inlineStr">
        <is>
          <t>2003</t>
        </is>
      </c>
      <c r="Q867" t="inlineStr">
        <is>
          <t>eng</t>
        </is>
      </c>
      <c r="R867" t="inlineStr">
        <is>
          <t>cau</t>
        </is>
      </c>
      <c r="T867" t="inlineStr">
        <is>
          <t xml:space="preserve">W  </t>
        </is>
      </c>
      <c r="U867" t="n">
        <v>0</v>
      </c>
      <c r="V867" t="n">
        <v>0</v>
      </c>
      <c r="W867" t="inlineStr">
        <is>
          <t>2004-09-20</t>
        </is>
      </c>
      <c r="X867" t="inlineStr">
        <is>
          <t>2004-09-20</t>
        </is>
      </c>
      <c r="Y867" t="inlineStr">
        <is>
          <t>2004-09-20</t>
        </is>
      </c>
      <c r="Z867" t="inlineStr">
        <is>
          <t>2004-09-20</t>
        </is>
      </c>
      <c r="AA867" t="n">
        <v>275</v>
      </c>
      <c r="AB867" t="n">
        <v>209</v>
      </c>
      <c r="AC867" t="n">
        <v>215</v>
      </c>
      <c r="AD867" t="n">
        <v>1</v>
      </c>
      <c r="AE867" t="n">
        <v>1</v>
      </c>
      <c r="AF867" t="n">
        <v>5</v>
      </c>
      <c r="AG867" t="n">
        <v>5</v>
      </c>
      <c r="AH867" t="n">
        <v>1</v>
      </c>
      <c r="AI867" t="n">
        <v>1</v>
      </c>
      <c r="AJ867" t="n">
        <v>2</v>
      </c>
      <c r="AK867" t="n">
        <v>2</v>
      </c>
      <c r="AL867" t="n">
        <v>4</v>
      </c>
      <c r="AM867" t="n">
        <v>4</v>
      </c>
      <c r="AN867" t="n">
        <v>0</v>
      </c>
      <c r="AO867" t="n">
        <v>0</v>
      </c>
      <c r="AP867" t="n">
        <v>0</v>
      </c>
      <c r="AQ867" t="n">
        <v>0</v>
      </c>
      <c r="AR867" t="inlineStr">
        <is>
          <t>No</t>
        </is>
      </c>
      <c r="AS867" t="inlineStr">
        <is>
          <t>Yes</t>
        </is>
      </c>
      <c r="AT867">
        <f>HYPERLINK("http://catalog.hathitrust.org/Record/004323156","HathiTrust Record")</f>
        <v/>
      </c>
      <c r="AU867">
        <f>HYPERLINK("https://creighton-primo.hosted.exlibrisgroup.com/primo-explore/search?tab=default_tab&amp;search_scope=EVERYTHING&amp;vid=01CRU&amp;lang=en_US&amp;offset=0&amp;query=any,contains,991000365539702656","Catalog Record")</f>
        <v/>
      </c>
      <c r="AV867">
        <f>HYPERLINK("http://www.worldcat.org/oclc/51724604","WorldCat Record")</f>
        <v/>
      </c>
      <c r="AW867" t="inlineStr">
        <is>
          <t>3858664275:eng</t>
        </is>
      </c>
      <c r="AX867" t="inlineStr">
        <is>
          <t>51724604</t>
        </is>
      </c>
      <c r="AY867" t="inlineStr">
        <is>
          <t>991000365539702656</t>
        </is>
      </c>
      <c r="AZ867" t="inlineStr">
        <is>
          <t>991000365539702656</t>
        </is>
      </c>
      <c r="BA867" t="inlineStr">
        <is>
          <t>2259688100002656</t>
        </is>
      </c>
      <c r="BB867" t="inlineStr">
        <is>
          <t>BOOK</t>
        </is>
      </c>
      <c r="BD867" t="inlineStr">
        <is>
          <t>9780787964122</t>
        </is>
      </c>
      <c r="BE867" t="inlineStr">
        <is>
          <t>30001004922995</t>
        </is>
      </c>
      <c r="BF867" t="inlineStr">
        <is>
          <t>893723405</t>
        </is>
      </c>
    </row>
    <row r="868">
      <c r="A868" t="inlineStr">
        <is>
          <t>No</t>
        </is>
      </c>
      <c r="B868" t="inlineStr">
        <is>
          <t>CUHSL</t>
        </is>
      </c>
      <c r="C868" t="inlineStr">
        <is>
          <t>SHELVES</t>
        </is>
      </c>
      <c r="D868" t="inlineStr">
        <is>
          <t>W 84.6 B422 1997</t>
        </is>
      </c>
      <c r="E868" t="inlineStr">
        <is>
          <t>0                      W  0084600B  422         1997</t>
        </is>
      </c>
      <c r="F868" t="inlineStr">
        <is>
          <t>Behavioral medicine in primary care : a practical guide / edited by Mitchell D. Feldman, John F. Christensen.</t>
        </is>
      </c>
      <c r="H868" t="inlineStr">
        <is>
          <t>No</t>
        </is>
      </c>
      <c r="I868" t="inlineStr">
        <is>
          <t>1</t>
        </is>
      </c>
      <c r="J868" t="inlineStr">
        <is>
          <t>No</t>
        </is>
      </c>
      <c r="K868" t="inlineStr">
        <is>
          <t>No</t>
        </is>
      </c>
      <c r="L868" t="inlineStr">
        <is>
          <t>0</t>
        </is>
      </c>
      <c r="N868" t="inlineStr">
        <is>
          <t>Stamford, Conn. : Appleton &amp; Lange, c1997.</t>
        </is>
      </c>
      <c r="O868" t="inlineStr">
        <is>
          <t>1997</t>
        </is>
      </c>
      <c r="P868" t="inlineStr">
        <is>
          <t>1st ed.</t>
        </is>
      </c>
      <c r="Q868" t="inlineStr">
        <is>
          <t>eng</t>
        </is>
      </c>
      <c r="R868" t="inlineStr">
        <is>
          <t>ctu</t>
        </is>
      </c>
      <c r="T868" t="inlineStr">
        <is>
          <t xml:space="preserve">W  </t>
        </is>
      </c>
      <c r="U868" t="n">
        <v>21</v>
      </c>
      <c r="V868" t="n">
        <v>21</v>
      </c>
      <c r="W868" t="inlineStr">
        <is>
          <t>2002-07-15</t>
        </is>
      </c>
      <c r="X868" t="inlineStr">
        <is>
          <t>2002-07-15</t>
        </is>
      </c>
      <c r="Y868" t="inlineStr">
        <is>
          <t>1999-05-04</t>
        </is>
      </c>
      <c r="Z868" t="inlineStr">
        <is>
          <t>1999-05-04</t>
        </is>
      </c>
      <c r="AA868" t="n">
        <v>118</v>
      </c>
      <c r="AB868" t="n">
        <v>98</v>
      </c>
      <c r="AC868" t="n">
        <v>160</v>
      </c>
      <c r="AD868" t="n">
        <v>1</v>
      </c>
      <c r="AE868" t="n">
        <v>2</v>
      </c>
      <c r="AF868" t="n">
        <v>5</v>
      </c>
      <c r="AG868" t="n">
        <v>7</v>
      </c>
      <c r="AH868" t="n">
        <v>0</v>
      </c>
      <c r="AI868" t="n">
        <v>0</v>
      </c>
      <c r="AJ868" t="n">
        <v>1</v>
      </c>
      <c r="AK868" t="n">
        <v>2</v>
      </c>
      <c r="AL868" t="n">
        <v>4</v>
      </c>
      <c r="AM868" t="n">
        <v>5</v>
      </c>
      <c r="AN868" t="n">
        <v>0</v>
      </c>
      <c r="AO868" t="n">
        <v>1</v>
      </c>
      <c r="AP868" t="n">
        <v>0</v>
      </c>
      <c r="AQ868" t="n">
        <v>0</v>
      </c>
      <c r="AR868" t="inlineStr">
        <is>
          <t>No</t>
        </is>
      </c>
      <c r="AS868" t="inlineStr">
        <is>
          <t>Yes</t>
        </is>
      </c>
      <c r="AT868">
        <f>HYPERLINK("http://catalog.hathitrust.org/Record/003168944","HathiTrust Record")</f>
        <v/>
      </c>
      <c r="AU868">
        <f>HYPERLINK("https://creighton-primo.hosted.exlibrisgroup.com/primo-explore/search?tab=default_tab&amp;search_scope=EVERYTHING&amp;vid=01CRU&amp;lang=en_US&amp;offset=0&amp;query=any,contains,991000785029702656","Catalog Record")</f>
        <v/>
      </c>
      <c r="AV868">
        <f>HYPERLINK("http://www.worldcat.org/oclc/36986491","WorldCat Record")</f>
        <v/>
      </c>
      <c r="AW868" t="inlineStr">
        <is>
          <t>3856263859:eng</t>
        </is>
      </c>
      <c r="AX868" t="inlineStr">
        <is>
          <t>36986491</t>
        </is>
      </c>
      <c r="AY868" t="inlineStr">
        <is>
          <t>991000785029702656</t>
        </is>
      </c>
      <c r="AZ868" t="inlineStr">
        <is>
          <t>991000785029702656</t>
        </is>
      </c>
      <c r="BA868" t="inlineStr">
        <is>
          <t>2268301340002656</t>
        </is>
      </c>
      <c r="BB868" t="inlineStr">
        <is>
          <t>BOOK</t>
        </is>
      </c>
      <c r="BD868" t="inlineStr">
        <is>
          <t>9780838506363</t>
        </is>
      </c>
      <c r="BE868" t="inlineStr">
        <is>
          <t>30001004072627</t>
        </is>
      </c>
      <c r="BF868" t="inlineStr">
        <is>
          <t>893726805</t>
        </is>
      </c>
    </row>
    <row r="869">
      <c r="A869" t="inlineStr">
        <is>
          <t>No</t>
        </is>
      </c>
      <c r="B869" t="inlineStr">
        <is>
          <t>CUHSL</t>
        </is>
      </c>
      <c r="C869" t="inlineStr">
        <is>
          <t>SHELVES</t>
        </is>
      </c>
      <c r="D869" t="inlineStr">
        <is>
          <t>W 84.6 C344d 1997</t>
        </is>
      </c>
      <c r="E869" t="inlineStr">
        <is>
          <t>0                      W  0084600C  344d        1997</t>
        </is>
      </c>
      <c r="F869" t="inlineStr">
        <is>
          <t>Doctoring : the nature of primary care medicine / Eric J. Cassell.</t>
        </is>
      </c>
      <c r="H869" t="inlineStr">
        <is>
          <t>No</t>
        </is>
      </c>
      <c r="I869" t="inlineStr">
        <is>
          <t>1</t>
        </is>
      </c>
      <c r="J869" t="inlineStr">
        <is>
          <t>No</t>
        </is>
      </c>
      <c r="K869" t="inlineStr">
        <is>
          <t>No</t>
        </is>
      </c>
      <c r="L869" t="inlineStr">
        <is>
          <t>0</t>
        </is>
      </c>
      <c r="M869" t="inlineStr">
        <is>
          <t>Cassell, Eric J., 1928-</t>
        </is>
      </c>
      <c r="N869" t="inlineStr">
        <is>
          <t>New York : Oxford University Press, c1997.</t>
        </is>
      </c>
      <c r="O869" t="inlineStr">
        <is>
          <t>1997</t>
        </is>
      </c>
      <c r="Q869" t="inlineStr">
        <is>
          <t>eng</t>
        </is>
      </c>
      <c r="R869" t="inlineStr">
        <is>
          <t>nyu</t>
        </is>
      </c>
      <c r="T869" t="inlineStr">
        <is>
          <t xml:space="preserve">W  </t>
        </is>
      </c>
      <c r="U869" t="n">
        <v>6</v>
      </c>
      <c r="V869" t="n">
        <v>6</v>
      </c>
      <c r="W869" t="inlineStr">
        <is>
          <t>1999-12-30</t>
        </is>
      </c>
      <c r="X869" t="inlineStr">
        <is>
          <t>1999-12-30</t>
        </is>
      </c>
      <c r="Y869" t="inlineStr">
        <is>
          <t>1998-01-22</t>
        </is>
      </c>
      <c r="Z869" t="inlineStr">
        <is>
          <t>1998-01-22</t>
        </is>
      </c>
      <c r="AA869" t="n">
        <v>275</v>
      </c>
      <c r="AB869" t="n">
        <v>232</v>
      </c>
      <c r="AC869" t="n">
        <v>1115</v>
      </c>
      <c r="AD869" t="n">
        <v>1</v>
      </c>
      <c r="AE869" t="n">
        <v>31</v>
      </c>
      <c r="AF869" t="n">
        <v>8</v>
      </c>
      <c r="AG869" t="n">
        <v>43</v>
      </c>
      <c r="AH869" t="n">
        <v>3</v>
      </c>
      <c r="AI869" t="n">
        <v>13</v>
      </c>
      <c r="AJ869" t="n">
        <v>1</v>
      </c>
      <c r="AK869" t="n">
        <v>8</v>
      </c>
      <c r="AL869" t="n">
        <v>5</v>
      </c>
      <c r="AM869" t="n">
        <v>14</v>
      </c>
      <c r="AN869" t="n">
        <v>0</v>
      </c>
      <c r="AO869" t="n">
        <v>12</v>
      </c>
      <c r="AP869" t="n">
        <v>1</v>
      </c>
      <c r="AQ869" t="n">
        <v>2</v>
      </c>
      <c r="AR869" t="inlineStr">
        <is>
          <t>No</t>
        </is>
      </c>
      <c r="AS869" t="inlineStr">
        <is>
          <t>No</t>
        </is>
      </c>
      <c r="AU869">
        <f>HYPERLINK("https://creighton-primo.hosted.exlibrisgroup.com/primo-explore/search?tab=default_tab&amp;search_scope=EVERYTHING&amp;vid=01CRU&amp;lang=en_US&amp;offset=0&amp;query=any,contains,991001294859702656","Catalog Record")</f>
        <v/>
      </c>
      <c r="AV869">
        <f>HYPERLINK("http://www.worldcat.org/oclc/35262302","WorldCat Record")</f>
        <v/>
      </c>
      <c r="AW869" t="inlineStr">
        <is>
          <t>793952417:eng</t>
        </is>
      </c>
      <c r="AX869" t="inlineStr">
        <is>
          <t>35262302</t>
        </is>
      </c>
      <c r="AY869" t="inlineStr">
        <is>
          <t>991001294859702656</t>
        </is>
      </c>
      <c r="AZ869" t="inlineStr">
        <is>
          <t>991001294859702656</t>
        </is>
      </c>
      <c r="BA869" t="inlineStr">
        <is>
          <t>2264304100002656</t>
        </is>
      </c>
      <c r="BB869" t="inlineStr">
        <is>
          <t>BOOK</t>
        </is>
      </c>
      <c r="BD869" t="inlineStr">
        <is>
          <t>9780195113235</t>
        </is>
      </c>
      <c r="BE869" t="inlineStr">
        <is>
          <t>30001003741446</t>
        </is>
      </c>
      <c r="BF869" t="inlineStr">
        <is>
          <t>893826637</t>
        </is>
      </c>
    </row>
    <row r="870">
      <c r="A870" t="inlineStr">
        <is>
          <t>No</t>
        </is>
      </c>
      <c r="B870" t="inlineStr">
        <is>
          <t>CUHSL</t>
        </is>
      </c>
      <c r="C870" t="inlineStr">
        <is>
          <t>SHELVES</t>
        </is>
      </c>
      <c r="D870" t="inlineStr">
        <is>
          <t>W 84.6 D355 1992</t>
        </is>
      </c>
      <c r="E870" t="inlineStr">
        <is>
          <t>0                      W  0084600D  355         1992</t>
        </is>
      </c>
      <c r="F870" t="inlineStr">
        <is>
          <t>Delivering health care to homeless persons : the diagnosis and management of medical and mental health conditions / David Wood, editor.</t>
        </is>
      </c>
      <c r="H870" t="inlineStr">
        <is>
          <t>No</t>
        </is>
      </c>
      <c r="I870" t="inlineStr">
        <is>
          <t>1</t>
        </is>
      </c>
      <c r="J870" t="inlineStr">
        <is>
          <t>No</t>
        </is>
      </c>
      <c r="K870" t="inlineStr">
        <is>
          <t>No</t>
        </is>
      </c>
      <c r="L870" t="inlineStr">
        <is>
          <t>0</t>
        </is>
      </c>
      <c r="N870" t="inlineStr">
        <is>
          <t>New York, N.Y. : Springer Pub. Co., c1992.</t>
        </is>
      </c>
      <c r="O870" t="inlineStr">
        <is>
          <t>1992</t>
        </is>
      </c>
      <c r="Q870" t="inlineStr">
        <is>
          <t>eng</t>
        </is>
      </c>
      <c r="R870" t="inlineStr">
        <is>
          <t>xxu</t>
        </is>
      </c>
      <c r="T870" t="inlineStr">
        <is>
          <t xml:space="preserve">W  </t>
        </is>
      </c>
      <c r="U870" t="n">
        <v>4</v>
      </c>
      <c r="V870" t="n">
        <v>4</v>
      </c>
      <c r="W870" t="inlineStr">
        <is>
          <t>1992-05-08</t>
        </is>
      </c>
      <c r="X870" t="inlineStr">
        <is>
          <t>1992-05-08</t>
        </is>
      </c>
      <c r="Y870" t="inlineStr">
        <is>
          <t>1992-03-10</t>
        </is>
      </c>
      <c r="Z870" t="inlineStr">
        <is>
          <t>1992-03-10</t>
        </is>
      </c>
      <c r="AA870" t="n">
        <v>279</v>
      </c>
      <c r="AB870" t="n">
        <v>253</v>
      </c>
      <c r="AC870" t="n">
        <v>256</v>
      </c>
      <c r="AD870" t="n">
        <v>3</v>
      </c>
      <c r="AE870" t="n">
        <v>3</v>
      </c>
      <c r="AF870" t="n">
        <v>16</v>
      </c>
      <c r="AG870" t="n">
        <v>16</v>
      </c>
      <c r="AH870" t="n">
        <v>6</v>
      </c>
      <c r="AI870" t="n">
        <v>6</v>
      </c>
      <c r="AJ870" t="n">
        <v>3</v>
      </c>
      <c r="AK870" t="n">
        <v>3</v>
      </c>
      <c r="AL870" t="n">
        <v>11</v>
      </c>
      <c r="AM870" t="n">
        <v>11</v>
      </c>
      <c r="AN870" t="n">
        <v>2</v>
      </c>
      <c r="AO870" t="n">
        <v>2</v>
      </c>
      <c r="AP870" t="n">
        <v>0</v>
      </c>
      <c r="AQ870" t="n">
        <v>0</v>
      </c>
      <c r="AR870" t="inlineStr">
        <is>
          <t>No</t>
        </is>
      </c>
      <c r="AS870" t="inlineStr">
        <is>
          <t>Yes</t>
        </is>
      </c>
      <c r="AT870">
        <f>HYPERLINK("http://catalog.hathitrust.org/Record/004513395","HathiTrust Record")</f>
        <v/>
      </c>
      <c r="AU870">
        <f>HYPERLINK("https://creighton-primo.hosted.exlibrisgroup.com/primo-explore/search?tab=default_tab&amp;search_scope=EVERYTHING&amp;vid=01CRU&amp;lang=en_US&amp;offset=0&amp;query=any,contains,991001033619702656","Catalog Record")</f>
        <v/>
      </c>
      <c r="AV870">
        <f>HYPERLINK("http://www.worldcat.org/oclc/24319745","WorldCat Record")</f>
        <v/>
      </c>
      <c r="AW870" t="inlineStr">
        <is>
          <t>1020766949:eng</t>
        </is>
      </c>
      <c r="AX870" t="inlineStr">
        <is>
          <t>24319745</t>
        </is>
      </c>
      <c r="AY870" t="inlineStr">
        <is>
          <t>991001033619702656</t>
        </is>
      </c>
      <c r="AZ870" t="inlineStr">
        <is>
          <t>991001033619702656</t>
        </is>
      </c>
      <c r="BA870" t="inlineStr">
        <is>
          <t>2265747060002656</t>
        </is>
      </c>
      <c r="BB870" t="inlineStr">
        <is>
          <t>BOOK</t>
        </is>
      </c>
      <c r="BD870" t="inlineStr">
        <is>
          <t>9780826177803</t>
        </is>
      </c>
      <c r="BE870" t="inlineStr">
        <is>
          <t>30001002244301</t>
        </is>
      </c>
      <c r="BF870" t="inlineStr">
        <is>
          <t>893121128</t>
        </is>
      </c>
    </row>
    <row r="871">
      <c r="A871" t="inlineStr">
        <is>
          <t>No</t>
        </is>
      </c>
      <c r="B871" t="inlineStr">
        <is>
          <t>CUHSL</t>
        </is>
      </c>
      <c r="C871" t="inlineStr">
        <is>
          <t>SHELVES</t>
        </is>
      </c>
      <c r="D871" t="inlineStr">
        <is>
          <t>W 84.6 D657 1992</t>
        </is>
      </c>
      <c r="E871" t="inlineStr">
        <is>
          <t>0                      W  0084600D  657         1992</t>
        </is>
      </c>
      <c r="F871" t="inlineStr">
        <is>
          <t>Doing qualitative research : multiple strategies / edited by Benjamin F. Crabtree, William L. Miller.</t>
        </is>
      </c>
      <c r="H871" t="inlineStr">
        <is>
          <t>No</t>
        </is>
      </c>
      <c r="I871" t="inlineStr">
        <is>
          <t>1</t>
        </is>
      </c>
      <c r="J871" t="inlineStr">
        <is>
          <t>Yes</t>
        </is>
      </c>
      <c r="K871" t="inlineStr">
        <is>
          <t>No</t>
        </is>
      </c>
      <c r="L871" t="inlineStr">
        <is>
          <t>0</t>
        </is>
      </c>
      <c r="N871" t="inlineStr">
        <is>
          <t>Sage Publications : Newbury Park, CA, c1992.</t>
        </is>
      </c>
      <c r="O871" t="inlineStr">
        <is>
          <t>1992</t>
        </is>
      </c>
      <c r="Q871" t="inlineStr">
        <is>
          <t>eng</t>
        </is>
      </c>
      <c r="R871" t="inlineStr">
        <is>
          <t>xxu</t>
        </is>
      </c>
      <c r="S871" t="inlineStr">
        <is>
          <t>Research methods for primary care ; v. 3</t>
        </is>
      </c>
      <c r="T871" t="inlineStr">
        <is>
          <t xml:space="preserve">W  </t>
        </is>
      </c>
      <c r="U871" t="n">
        <v>17</v>
      </c>
      <c r="V871" t="n">
        <v>17</v>
      </c>
      <c r="W871" t="inlineStr">
        <is>
          <t>2000-02-27</t>
        </is>
      </c>
      <c r="X871" t="inlineStr">
        <is>
          <t>2000-02-27</t>
        </is>
      </c>
      <c r="Y871" t="inlineStr">
        <is>
          <t>1992-08-21</t>
        </is>
      </c>
      <c r="Z871" t="inlineStr">
        <is>
          <t>1992-08-21</t>
        </is>
      </c>
      <c r="AA871" t="n">
        <v>487</v>
      </c>
      <c r="AB871" t="n">
        <v>331</v>
      </c>
      <c r="AC871" t="n">
        <v>527</v>
      </c>
      <c r="AD871" t="n">
        <v>4</v>
      </c>
      <c r="AE871" t="n">
        <v>6</v>
      </c>
      <c r="AF871" t="n">
        <v>23</v>
      </c>
      <c r="AG871" t="n">
        <v>34</v>
      </c>
      <c r="AH871" t="n">
        <v>8</v>
      </c>
      <c r="AI871" t="n">
        <v>12</v>
      </c>
      <c r="AJ871" t="n">
        <v>6</v>
      </c>
      <c r="AK871" t="n">
        <v>7</v>
      </c>
      <c r="AL871" t="n">
        <v>15</v>
      </c>
      <c r="AM871" t="n">
        <v>19</v>
      </c>
      <c r="AN871" t="n">
        <v>2</v>
      </c>
      <c r="AO871" t="n">
        <v>4</v>
      </c>
      <c r="AP871" t="n">
        <v>0</v>
      </c>
      <c r="AQ871" t="n">
        <v>0</v>
      </c>
      <c r="AR871" t="inlineStr">
        <is>
          <t>No</t>
        </is>
      </c>
      <c r="AS871" t="inlineStr">
        <is>
          <t>Yes</t>
        </is>
      </c>
      <c r="AT871">
        <f>HYPERLINK("http://catalog.hathitrust.org/Record/002611903","HathiTrust Record")</f>
        <v/>
      </c>
      <c r="AU871">
        <f>HYPERLINK("https://creighton-primo.hosted.exlibrisgroup.com/primo-explore/search?tab=default_tab&amp;search_scope=EVERYTHING&amp;vid=01CRU&amp;lang=en_US&amp;offset=0&amp;query=any,contains,991001340359702656","Catalog Record")</f>
        <v/>
      </c>
      <c r="AV871">
        <f>HYPERLINK("http://www.worldcat.org/oclc/25369633","WorldCat Record")</f>
        <v/>
      </c>
      <c r="AW871" t="inlineStr">
        <is>
          <t>350246582:eng</t>
        </is>
      </c>
      <c r="AX871" t="inlineStr">
        <is>
          <t>25369633</t>
        </is>
      </c>
      <c r="AY871" t="inlineStr">
        <is>
          <t>991001340359702656</t>
        </is>
      </c>
      <c r="AZ871" t="inlineStr">
        <is>
          <t>991001340359702656</t>
        </is>
      </c>
      <c r="BA871" t="inlineStr">
        <is>
          <t>2271977430002656</t>
        </is>
      </c>
      <c r="BB871" t="inlineStr">
        <is>
          <t>BOOK</t>
        </is>
      </c>
      <c r="BD871" t="inlineStr">
        <is>
          <t>9780803943117</t>
        </is>
      </c>
      <c r="BE871" t="inlineStr">
        <is>
          <t>30001002455394</t>
        </is>
      </c>
      <c r="BF871" t="inlineStr">
        <is>
          <t>893821127</t>
        </is>
      </c>
    </row>
    <row r="872">
      <c r="A872" t="inlineStr">
        <is>
          <t>No</t>
        </is>
      </c>
      <c r="B872" t="inlineStr">
        <is>
          <t>CUHSL</t>
        </is>
      </c>
      <c r="C872" t="inlineStr">
        <is>
          <t>SHELVES</t>
        </is>
      </c>
      <c r="D872" t="inlineStr">
        <is>
          <t>W 84.6 E925s 1997</t>
        </is>
      </c>
      <c r="E872" t="inlineStr">
        <is>
          <t>0                      W  0084600E  925s        1997</t>
        </is>
      </c>
      <c r="F872" t="inlineStr">
        <is>
          <t>Seamless connections : refocusing your organization to create a successful continuum of care / Connie J. Evashwick ; foreword by Philip A. Newbold.</t>
        </is>
      </c>
      <c r="H872" t="inlineStr">
        <is>
          <t>No</t>
        </is>
      </c>
      <c r="I872" t="inlineStr">
        <is>
          <t>1</t>
        </is>
      </c>
      <c r="J872" t="inlineStr">
        <is>
          <t>No</t>
        </is>
      </c>
      <c r="K872" t="inlineStr">
        <is>
          <t>No</t>
        </is>
      </c>
      <c r="L872" t="inlineStr">
        <is>
          <t>0</t>
        </is>
      </c>
      <c r="M872" t="inlineStr">
        <is>
          <t>Evashwick, Connie.</t>
        </is>
      </c>
      <c r="N872" t="inlineStr">
        <is>
          <t>Chicago : American Hospital Pub., c1997.</t>
        </is>
      </c>
      <c r="O872" t="inlineStr">
        <is>
          <t>1997</t>
        </is>
      </c>
      <c r="Q872" t="inlineStr">
        <is>
          <t>eng</t>
        </is>
      </c>
      <c r="R872" t="inlineStr">
        <is>
          <t>ilu</t>
        </is>
      </c>
      <c r="T872" t="inlineStr">
        <is>
          <t xml:space="preserve">W  </t>
        </is>
      </c>
      <c r="U872" t="n">
        <v>0</v>
      </c>
      <c r="V872" t="n">
        <v>0</v>
      </c>
      <c r="W872" t="inlineStr">
        <is>
          <t>2004-09-24</t>
        </is>
      </c>
      <c r="X872" t="inlineStr">
        <is>
          <t>2004-09-24</t>
        </is>
      </c>
      <c r="Y872" t="inlineStr">
        <is>
          <t>2004-09-24</t>
        </is>
      </c>
      <c r="Z872" t="inlineStr">
        <is>
          <t>2004-09-24</t>
        </is>
      </c>
      <c r="AA872" t="n">
        <v>90</v>
      </c>
      <c r="AB872" t="n">
        <v>83</v>
      </c>
      <c r="AC872" t="n">
        <v>84</v>
      </c>
      <c r="AD872" t="n">
        <v>1</v>
      </c>
      <c r="AE872" t="n">
        <v>1</v>
      </c>
      <c r="AF872" t="n">
        <v>3</v>
      </c>
      <c r="AG872" t="n">
        <v>3</v>
      </c>
      <c r="AH872" t="n">
        <v>0</v>
      </c>
      <c r="AI872" t="n">
        <v>0</v>
      </c>
      <c r="AJ872" t="n">
        <v>1</v>
      </c>
      <c r="AK872" t="n">
        <v>1</v>
      </c>
      <c r="AL872" t="n">
        <v>3</v>
      </c>
      <c r="AM872" t="n">
        <v>3</v>
      </c>
      <c r="AN872" t="n">
        <v>0</v>
      </c>
      <c r="AO872" t="n">
        <v>0</v>
      </c>
      <c r="AP872" t="n">
        <v>0</v>
      </c>
      <c r="AQ872" t="n">
        <v>0</v>
      </c>
      <c r="AR872" t="inlineStr">
        <is>
          <t>No</t>
        </is>
      </c>
      <c r="AS872" t="inlineStr">
        <is>
          <t>No</t>
        </is>
      </c>
      <c r="AU872">
        <f>HYPERLINK("https://creighton-primo.hosted.exlibrisgroup.com/primo-explore/search?tab=default_tab&amp;search_scope=EVERYTHING&amp;vid=01CRU&amp;lang=en_US&amp;offset=0&amp;query=any,contains,991000396989702656","Catalog Record")</f>
        <v/>
      </c>
      <c r="AV872">
        <f>HYPERLINK("http://www.worldcat.org/oclc/36083998","WorldCat Record")</f>
        <v/>
      </c>
      <c r="AW872" t="inlineStr">
        <is>
          <t>666828:eng</t>
        </is>
      </c>
      <c r="AX872" t="inlineStr">
        <is>
          <t>36083998</t>
        </is>
      </c>
      <c r="AY872" t="inlineStr">
        <is>
          <t>991000396989702656</t>
        </is>
      </c>
      <c r="AZ872" t="inlineStr">
        <is>
          <t>991000396989702656</t>
        </is>
      </c>
      <c r="BA872" t="inlineStr">
        <is>
          <t>2266229750002656</t>
        </is>
      </c>
      <c r="BB872" t="inlineStr">
        <is>
          <t>BOOK</t>
        </is>
      </c>
      <c r="BD872" t="inlineStr">
        <is>
          <t>9781556481833</t>
        </is>
      </c>
      <c r="BE872" t="inlineStr">
        <is>
          <t>30001004978948</t>
        </is>
      </c>
      <c r="BF872" t="inlineStr">
        <is>
          <t>893269435</t>
        </is>
      </c>
    </row>
    <row r="873">
      <c r="A873" t="inlineStr">
        <is>
          <t>No</t>
        </is>
      </c>
      <c r="B873" t="inlineStr">
        <is>
          <t>CUHSL</t>
        </is>
      </c>
      <c r="C873" t="inlineStr">
        <is>
          <t>SHELVES</t>
        </is>
      </c>
      <c r="D873" t="inlineStr">
        <is>
          <t>W 84.6 F979 1988</t>
        </is>
      </c>
      <c r="E873" t="inlineStr">
        <is>
          <t>0                      W  0084600F  979         1988</t>
        </is>
      </c>
      <c r="F873" t="inlineStr">
        <is>
          <t>Functional status measurement in primary care / foreword by Sheldon Greenfield ; with contributions by M. Baker ... [et al.].</t>
        </is>
      </c>
      <c r="H873" t="inlineStr">
        <is>
          <t>No</t>
        </is>
      </c>
      <c r="I873" t="inlineStr">
        <is>
          <t>1</t>
        </is>
      </c>
      <c r="J873" t="inlineStr">
        <is>
          <t>No</t>
        </is>
      </c>
      <c r="K873" t="inlineStr">
        <is>
          <t>No</t>
        </is>
      </c>
      <c r="L873" t="inlineStr">
        <is>
          <t>0</t>
        </is>
      </c>
      <c r="N873" t="inlineStr">
        <is>
          <t>New York : Springer-Verlag, c1990.</t>
        </is>
      </c>
      <c r="O873" t="inlineStr">
        <is>
          <t>1990</t>
        </is>
      </c>
      <c r="Q873" t="inlineStr">
        <is>
          <t>eng</t>
        </is>
      </c>
      <c r="R873" t="inlineStr">
        <is>
          <t>nyu</t>
        </is>
      </c>
      <c r="S873" t="inlineStr">
        <is>
          <t>Frontiers of primary care</t>
        </is>
      </c>
      <c r="T873" t="inlineStr">
        <is>
          <t xml:space="preserve">W  </t>
        </is>
      </c>
      <c r="U873" t="n">
        <v>11</v>
      </c>
      <c r="V873" t="n">
        <v>11</v>
      </c>
      <c r="W873" t="inlineStr">
        <is>
          <t>2007-03-07</t>
        </is>
      </c>
      <c r="X873" t="inlineStr">
        <is>
          <t>2007-03-07</t>
        </is>
      </c>
      <c r="Y873" t="inlineStr">
        <is>
          <t>1992-02-04</t>
        </is>
      </c>
      <c r="Z873" t="inlineStr">
        <is>
          <t>1992-02-04</t>
        </is>
      </c>
      <c r="AA873" t="n">
        <v>87</v>
      </c>
      <c r="AB873" t="n">
        <v>49</v>
      </c>
      <c r="AC873" t="n">
        <v>53</v>
      </c>
      <c r="AD873" t="n">
        <v>1</v>
      </c>
      <c r="AE873" t="n">
        <v>1</v>
      </c>
      <c r="AF873" t="n">
        <v>0</v>
      </c>
      <c r="AG873" t="n">
        <v>0</v>
      </c>
      <c r="AH873" t="n">
        <v>0</v>
      </c>
      <c r="AI873" t="n">
        <v>0</v>
      </c>
      <c r="AJ873" t="n">
        <v>0</v>
      </c>
      <c r="AK873" t="n">
        <v>0</v>
      </c>
      <c r="AL873" t="n">
        <v>0</v>
      </c>
      <c r="AM873" t="n">
        <v>0</v>
      </c>
      <c r="AN873" t="n">
        <v>0</v>
      </c>
      <c r="AO873" t="n">
        <v>0</v>
      </c>
      <c r="AP873" t="n">
        <v>0</v>
      </c>
      <c r="AQ873" t="n">
        <v>0</v>
      </c>
      <c r="AR873" t="inlineStr">
        <is>
          <t>No</t>
        </is>
      </c>
      <c r="AS873" t="inlineStr">
        <is>
          <t>Yes</t>
        </is>
      </c>
      <c r="AT873">
        <f>HYPERLINK("http://catalog.hathitrust.org/Record/002238010","HathiTrust Record")</f>
        <v/>
      </c>
      <c r="AU873">
        <f>HYPERLINK("https://creighton-primo.hosted.exlibrisgroup.com/primo-explore/search?tab=default_tab&amp;search_scope=EVERYTHING&amp;vid=01CRU&amp;lang=en_US&amp;offset=0&amp;query=any,contains,991001031769702656","Catalog Record")</f>
        <v/>
      </c>
      <c r="AV873">
        <f>HYPERLINK("http://www.worldcat.org/oclc/20894192","WorldCat Record")</f>
        <v/>
      </c>
      <c r="AW873" t="inlineStr">
        <is>
          <t>22710197:eng</t>
        </is>
      </c>
      <c r="AX873" t="inlineStr">
        <is>
          <t>20894192</t>
        </is>
      </c>
      <c r="AY873" t="inlineStr">
        <is>
          <t>991001031769702656</t>
        </is>
      </c>
      <c r="AZ873" t="inlineStr">
        <is>
          <t>991001031769702656</t>
        </is>
      </c>
      <c r="BA873" t="inlineStr">
        <is>
          <t>2266182200002656</t>
        </is>
      </c>
      <c r="BB873" t="inlineStr">
        <is>
          <t>BOOK</t>
        </is>
      </c>
      <c r="BD873" t="inlineStr">
        <is>
          <t>9780387971988</t>
        </is>
      </c>
      <c r="BE873" t="inlineStr">
        <is>
          <t>30001002243956</t>
        </is>
      </c>
      <c r="BF873" t="inlineStr">
        <is>
          <t>893134200</t>
        </is>
      </c>
    </row>
    <row r="874">
      <c r="A874" t="inlineStr">
        <is>
          <t>No</t>
        </is>
      </c>
      <c r="B874" t="inlineStr">
        <is>
          <t>CUHSL</t>
        </is>
      </c>
      <c r="C874" t="inlineStr">
        <is>
          <t>SHELVES</t>
        </is>
      </c>
      <c r="D874" t="inlineStr">
        <is>
          <t>W 84.6 I587p 1996</t>
        </is>
      </c>
      <c r="E874" t="inlineStr">
        <is>
          <t>0                      W  0084600I  587p        1996</t>
        </is>
      </c>
      <c r="F874" t="inlineStr">
        <is>
          <t>Primary care : America's health in a new era / Molla S. Donaldson ... [et al.], editors ; Committee on the Future of Primary Care, Division of Health Care Services, Institute of Medicine.</t>
        </is>
      </c>
      <c r="H874" t="inlineStr">
        <is>
          <t>No</t>
        </is>
      </c>
      <c r="I874" t="inlineStr">
        <is>
          <t>1</t>
        </is>
      </c>
      <c r="J874" t="inlineStr">
        <is>
          <t>No</t>
        </is>
      </c>
      <c r="K874" t="inlineStr">
        <is>
          <t>No</t>
        </is>
      </c>
      <c r="L874" t="inlineStr">
        <is>
          <t>3</t>
        </is>
      </c>
      <c r="M874" t="inlineStr">
        <is>
          <t>Institute of Medicine (U.S.). Division of Health Care Services. Committee on the Future of Primary Care.</t>
        </is>
      </c>
      <c r="N874" t="inlineStr">
        <is>
          <t>Washington, D.C. : National Academy Press, c1996.</t>
        </is>
      </c>
      <c r="O874" t="inlineStr">
        <is>
          <t>1996</t>
        </is>
      </c>
      <c r="Q874" t="inlineStr">
        <is>
          <t>eng</t>
        </is>
      </c>
      <c r="R874" t="inlineStr">
        <is>
          <t>dcu</t>
        </is>
      </c>
      <c r="T874" t="inlineStr">
        <is>
          <t xml:space="preserve">W  </t>
        </is>
      </c>
      <c r="U874" t="n">
        <v>2</v>
      </c>
      <c r="V874" t="n">
        <v>2</v>
      </c>
      <c r="W874" t="inlineStr">
        <is>
          <t>1997-08-12</t>
        </is>
      </c>
      <c r="X874" t="inlineStr">
        <is>
          <t>1997-08-12</t>
        </is>
      </c>
      <c r="Y874" t="inlineStr">
        <is>
          <t>1997-05-02</t>
        </is>
      </c>
      <c r="Z874" t="inlineStr">
        <is>
          <t>1997-05-02</t>
        </is>
      </c>
      <c r="AA874" t="n">
        <v>367</v>
      </c>
      <c r="AB874" t="n">
        <v>348</v>
      </c>
      <c r="AC874" t="n">
        <v>1493</v>
      </c>
      <c r="AD874" t="n">
        <v>2</v>
      </c>
      <c r="AE874" t="n">
        <v>32</v>
      </c>
      <c r="AF874" t="n">
        <v>12</v>
      </c>
      <c r="AG874" t="n">
        <v>51</v>
      </c>
      <c r="AH874" t="n">
        <v>3</v>
      </c>
      <c r="AI874" t="n">
        <v>17</v>
      </c>
      <c r="AJ874" t="n">
        <v>3</v>
      </c>
      <c r="AK874" t="n">
        <v>10</v>
      </c>
      <c r="AL874" t="n">
        <v>7</v>
      </c>
      <c r="AM874" t="n">
        <v>15</v>
      </c>
      <c r="AN874" t="n">
        <v>1</v>
      </c>
      <c r="AO874" t="n">
        <v>17</v>
      </c>
      <c r="AP874" t="n">
        <v>1</v>
      </c>
      <c r="AQ874" t="n">
        <v>1</v>
      </c>
      <c r="AR874" t="inlineStr">
        <is>
          <t>No</t>
        </is>
      </c>
      <c r="AS874" t="inlineStr">
        <is>
          <t>No</t>
        </is>
      </c>
      <c r="AU874">
        <f>HYPERLINK("https://creighton-primo.hosted.exlibrisgroup.com/primo-explore/search?tab=default_tab&amp;search_scope=EVERYTHING&amp;vid=01CRU&amp;lang=en_US&amp;offset=0&amp;query=any,contains,991001058439702656","Catalog Record")</f>
        <v/>
      </c>
      <c r="AV874">
        <f>HYPERLINK("http://www.worldcat.org/oclc/34766631","WorldCat Record")</f>
        <v/>
      </c>
      <c r="AW874" t="inlineStr">
        <is>
          <t>794357632:eng</t>
        </is>
      </c>
      <c r="AX874" t="inlineStr">
        <is>
          <t>34766631</t>
        </is>
      </c>
      <c r="AY874" t="inlineStr">
        <is>
          <t>991001058439702656</t>
        </is>
      </c>
      <c r="AZ874" t="inlineStr">
        <is>
          <t>991001058439702656</t>
        </is>
      </c>
      <c r="BA874" t="inlineStr">
        <is>
          <t>2270143400002656</t>
        </is>
      </c>
      <c r="BB874" t="inlineStr">
        <is>
          <t>BOOK</t>
        </is>
      </c>
      <c r="BD874" t="inlineStr">
        <is>
          <t>9780309053990</t>
        </is>
      </c>
      <c r="BE874" t="inlineStr">
        <is>
          <t>30001003588722</t>
        </is>
      </c>
      <c r="BF874" t="inlineStr">
        <is>
          <t>893632686</t>
        </is>
      </c>
    </row>
    <row r="875">
      <c r="A875" t="inlineStr">
        <is>
          <t>No</t>
        </is>
      </c>
      <c r="B875" t="inlineStr">
        <is>
          <t>CUHSL</t>
        </is>
      </c>
      <c r="C875" t="inlineStr">
        <is>
          <t>SHELVES</t>
        </is>
      </c>
      <c r="D875" t="inlineStr">
        <is>
          <t>W84.6 LI619 1999</t>
        </is>
      </c>
      <c r="E875" t="inlineStr">
        <is>
          <t>0                      W  0084600LI 619         1999</t>
        </is>
      </c>
      <c r="F875" t="inlineStr">
        <is>
          <t>Primary health care in urban communities / [edited by] Beverly J. McElmurry, Cynthia Tyska, Randy Spreen Parker ; with the assistance of Todd Hissong.</t>
        </is>
      </c>
      <c r="H875" t="inlineStr">
        <is>
          <t>No</t>
        </is>
      </c>
      <c r="I875" t="inlineStr">
        <is>
          <t>1</t>
        </is>
      </c>
      <c r="J875" t="inlineStr">
        <is>
          <t>No</t>
        </is>
      </c>
      <c r="K875" t="inlineStr">
        <is>
          <t>No</t>
        </is>
      </c>
      <c r="L875" t="inlineStr">
        <is>
          <t>0</t>
        </is>
      </c>
      <c r="N875" t="inlineStr">
        <is>
          <t>Sudbury, Mass. : Jones and Bartlett Publishers : NLN Press, c1999.</t>
        </is>
      </c>
      <c r="O875" t="inlineStr">
        <is>
          <t>1999</t>
        </is>
      </c>
      <c r="Q875" t="inlineStr">
        <is>
          <t>eng</t>
        </is>
      </c>
      <c r="R875" t="inlineStr">
        <is>
          <t>mau</t>
        </is>
      </c>
      <c r="S875" t="inlineStr">
        <is>
          <t>National League for Nursing series</t>
        </is>
      </c>
      <c r="T875" t="inlineStr">
        <is>
          <t xml:space="preserve">W  </t>
        </is>
      </c>
      <c r="U875" t="n">
        <v>4</v>
      </c>
      <c r="V875" t="n">
        <v>4</v>
      </c>
      <c r="W875" t="inlineStr">
        <is>
          <t>2007-04-16</t>
        </is>
      </c>
      <c r="X875" t="inlineStr">
        <is>
          <t>2007-04-16</t>
        </is>
      </c>
      <c r="Y875" t="inlineStr">
        <is>
          <t>2002-07-03</t>
        </is>
      </c>
      <c r="Z875" t="inlineStr">
        <is>
          <t>2002-07-03</t>
        </is>
      </c>
      <c r="AA875" t="n">
        <v>320</v>
      </c>
      <c r="AB875" t="n">
        <v>283</v>
      </c>
      <c r="AC875" t="n">
        <v>1120</v>
      </c>
      <c r="AD875" t="n">
        <v>2</v>
      </c>
      <c r="AE875" t="n">
        <v>4</v>
      </c>
      <c r="AF875" t="n">
        <v>15</v>
      </c>
      <c r="AG875" t="n">
        <v>29</v>
      </c>
      <c r="AH875" t="n">
        <v>5</v>
      </c>
      <c r="AI875" t="n">
        <v>16</v>
      </c>
      <c r="AJ875" t="n">
        <v>5</v>
      </c>
      <c r="AK875" t="n">
        <v>6</v>
      </c>
      <c r="AL875" t="n">
        <v>8</v>
      </c>
      <c r="AM875" t="n">
        <v>12</v>
      </c>
      <c r="AN875" t="n">
        <v>0</v>
      </c>
      <c r="AO875" t="n">
        <v>1</v>
      </c>
      <c r="AP875" t="n">
        <v>0</v>
      </c>
      <c r="AQ875" t="n">
        <v>0</v>
      </c>
      <c r="AR875" t="inlineStr">
        <is>
          <t>No</t>
        </is>
      </c>
      <c r="AS875" t="inlineStr">
        <is>
          <t>Yes</t>
        </is>
      </c>
      <c r="AT875">
        <f>HYPERLINK("http://catalog.hathitrust.org/Record/003331525","HathiTrust Record")</f>
        <v/>
      </c>
      <c r="AU875">
        <f>HYPERLINK("https://creighton-primo.hosted.exlibrisgroup.com/primo-explore/search?tab=default_tab&amp;search_scope=EVERYTHING&amp;vid=01CRU&amp;lang=en_US&amp;offset=0&amp;query=any,contains,991001705239702656","Catalog Record")</f>
        <v/>
      </c>
      <c r="AV875">
        <f>HYPERLINK("http://www.worldcat.org/oclc/40444072","WorldCat Record")</f>
        <v/>
      </c>
      <c r="AW875" t="inlineStr">
        <is>
          <t>3901683686:eng</t>
        </is>
      </c>
      <c r="AX875" t="inlineStr">
        <is>
          <t>40444072</t>
        </is>
      </c>
      <c r="AY875" t="inlineStr">
        <is>
          <t>991001705239702656</t>
        </is>
      </c>
      <c r="AZ875" t="inlineStr">
        <is>
          <t>991001705239702656</t>
        </is>
      </c>
      <c r="BA875" t="inlineStr">
        <is>
          <t>2271368400002656</t>
        </is>
      </c>
      <c r="BB875" t="inlineStr">
        <is>
          <t>BOOK</t>
        </is>
      </c>
      <c r="BD875" t="inlineStr">
        <is>
          <t>9780763710101</t>
        </is>
      </c>
      <c r="BE875" t="inlineStr">
        <is>
          <t>30001004442853</t>
        </is>
      </c>
      <c r="BF875" t="inlineStr">
        <is>
          <t>893834744</t>
        </is>
      </c>
    </row>
    <row r="876">
      <c r="A876" t="inlineStr">
        <is>
          <t>No</t>
        </is>
      </c>
      <c r="B876" t="inlineStr">
        <is>
          <t>CUHSL</t>
        </is>
      </c>
      <c r="C876" t="inlineStr">
        <is>
          <t>SHELVES</t>
        </is>
      </c>
      <c r="D876" t="inlineStr">
        <is>
          <t>W 84.6 M266 1979</t>
        </is>
      </c>
      <c r="E876" t="inlineStr">
        <is>
          <t>0                      W  0084600M  266         1979</t>
        </is>
      </c>
      <c r="F876" t="inlineStr">
        <is>
          <t>The Management of common human miseries : a text for primary health care practitioners / Bonnie Bullough, editor ; with contributors.</t>
        </is>
      </c>
      <c r="H876" t="inlineStr">
        <is>
          <t>No</t>
        </is>
      </c>
      <c r="I876" t="inlineStr">
        <is>
          <t>1</t>
        </is>
      </c>
      <c r="J876" t="inlineStr">
        <is>
          <t>No</t>
        </is>
      </c>
      <c r="K876" t="inlineStr">
        <is>
          <t>No</t>
        </is>
      </c>
      <c r="L876" t="inlineStr">
        <is>
          <t>0</t>
        </is>
      </c>
      <c r="N876" t="inlineStr">
        <is>
          <t>New York : Springer, c1979.</t>
        </is>
      </c>
      <c r="O876" t="inlineStr">
        <is>
          <t>1979</t>
        </is>
      </c>
      <c r="Q876" t="inlineStr">
        <is>
          <t>eng</t>
        </is>
      </c>
      <c r="R876" t="inlineStr">
        <is>
          <t>nyu</t>
        </is>
      </c>
      <c r="T876" t="inlineStr">
        <is>
          <t xml:space="preserve">W  </t>
        </is>
      </c>
      <c r="U876" t="n">
        <v>1</v>
      </c>
      <c r="V876" t="n">
        <v>1</v>
      </c>
      <c r="W876" t="inlineStr">
        <is>
          <t>2001-04-23</t>
        </is>
      </c>
      <c r="X876" t="inlineStr">
        <is>
          <t>2001-04-23</t>
        </is>
      </c>
      <c r="Y876" t="inlineStr">
        <is>
          <t>1987-12-22</t>
        </is>
      </c>
      <c r="Z876" t="inlineStr">
        <is>
          <t>1987-12-22</t>
        </is>
      </c>
      <c r="AA876" t="n">
        <v>174</v>
      </c>
      <c r="AB876" t="n">
        <v>151</v>
      </c>
      <c r="AC876" t="n">
        <v>153</v>
      </c>
      <c r="AD876" t="n">
        <v>2</v>
      </c>
      <c r="AE876" t="n">
        <v>2</v>
      </c>
      <c r="AF876" t="n">
        <v>7</v>
      </c>
      <c r="AG876" t="n">
        <v>7</v>
      </c>
      <c r="AH876" t="n">
        <v>2</v>
      </c>
      <c r="AI876" t="n">
        <v>2</v>
      </c>
      <c r="AJ876" t="n">
        <v>3</v>
      </c>
      <c r="AK876" t="n">
        <v>3</v>
      </c>
      <c r="AL876" t="n">
        <v>2</v>
      </c>
      <c r="AM876" t="n">
        <v>2</v>
      </c>
      <c r="AN876" t="n">
        <v>1</v>
      </c>
      <c r="AO876" t="n">
        <v>1</v>
      </c>
      <c r="AP876" t="n">
        <v>0</v>
      </c>
      <c r="AQ876" t="n">
        <v>0</v>
      </c>
      <c r="AR876" t="inlineStr">
        <is>
          <t>No</t>
        </is>
      </c>
      <c r="AS876" t="inlineStr">
        <is>
          <t>Yes</t>
        </is>
      </c>
      <c r="AT876">
        <f>HYPERLINK("http://catalog.hathitrust.org/Record/000745859","HathiTrust Record")</f>
        <v/>
      </c>
      <c r="AU876">
        <f>HYPERLINK("https://creighton-primo.hosted.exlibrisgroup.com/primo-explore/search?tab=default_tab&amp;search_scope=EVERYTHING&amp;vid=01CRU&amp;lang=en_US&amp;offset=0&amp;query=any,contains,991000659379702656","Catalog Record")</f>
        <v/>
      </c>
      <c r="AV876">
        <f>HYPERLINK("http://www.worldcat.org/oclc/4504138","WorldCat Record")</f>
        <v/>
      </c>
      <c r="AW876" t="inlineStr">
        <is>
          <t>14790722:eng</t>
        </is>
      </c>
      <c r="AX876" t="inlineStr">
        <is>
          <t>4504138</t>
        </is>
      </c>
      <c r="AY876" t="inlineStr">
        <is>
          <t>991000659379702656</t>
        </is>
      </c>
      <c r="AZ876" t="inlineStr">
        <is>
          <t>991000659379702656</t>
        </is>
      </c>
      <c r="BA876" t="inlineStr">
        <is>
          <t>2264935200002656</t>
        </is>
      </c>
      <c r="BB876" t="inlineStr">
        <is>
          <t>BOOK</t>
        </is>
      </c>
      <c r="BD876" t="inlineStr">
        <is>
          <t>9780826121905</t>
        </is>
      </c>
      <c r="BE876" t="inlineStr">
        <is>
          <t>30001000688392</t>
        </is>
      </c>
      <c r="BF876" t="inlineStr">
        <is>
          <t>893551272</t>
        </is>
      </c>
    </row>
    <row r="877">
      <c r="A877" t="inlineStr">
        <is>
          <t>No</t>
        </is>
      </c>
      <c r="B877" t="inlineStr">
        <is>
          <t>CUHSL</t>
        </is>
      </c>
      <c r="C877" t="inlineStr">
        <is>
          <t>SHELVES</t>
        </is>
      </c>
      <c r="D877" t="inlineStr">
        <is>
          <t>W 84.6 M4891 1996</t>
        </is>
      </c>
      <c r="E877" t="inlineStr">
        <is>
          <t>0                      W  0084600M  4891        1996</t>
        </is>
      </c>
      <c r="F877" t="inlineStr">
        <is>
          <t>Medicine : a primary care approach / [edited by] Richard H. Rubin ... [et al.].</t>
        </is>
      </c>
      <c r="H877" t="inlineStr">
        <is>
          <t>No</t>
        </is>
      </c>
      <c r="I877" t="inlineStr">
        <is>
          <t>1</t>
        </is>
      </c>
      <c r="J877" t="inlineStr">
        <is>
          <t>No</t>
        </is>
      </c>
      <c r="K877" t="inlineStr">
        <is>
          <t>No</t>
        </is>
      </c>
      <c r="L877" t="inlineStr">
        <is>
          <t>0</t>
        </is>
      </c>
      <c r="N877" t="inlineStr">
        <is>
          <t>Philadelphia : Saunders, c1996.</t>
        </is>
      </c>
      <c r="O877" t="inlineStr">
        <is>
          <t>1996</t>
        </is>
      </c>
      <c r="Q877" t="inlineStr">
        <is>
          <t>eng</t>
        </is>
      </c>
      <c r="R877" t="inlineStr">
        <is>
          <t>pau</t>
        </is>
      </c>
      <c r="T877" t="inlineStr">
        <is>
          <t xml:space="preserve">W  </t>
        </is>
      </c>
      <c r="U877" t="n">
        <v>19</v>
      </c>
      <c r="V877" t="n">
        <v>19</v>
      </c>
      <c r="W877" t="inlineStr">
        <is>
          <t>2008-12-10</t>
        </is>
      </c>
      <c r="X877" t="inlineStr">
        <is>
          <t>2008-12-10</t>
        </is>
      </c>
      <c r="Y877" t="inlineStr">
        <is>
          <t>1997-01-17</t>
        </is>
      </c>
      <c r="Z877" t="inlineStr">
        <is>
          <t>1997-01-17</t>
        </is>
      </c>
      <c r="AA877" t="n">
        <v>142</v>
      </c>
      <c r="AB877" t="n">
        <v>103</v>
      </c>
      <c r="AC877" t="n">
        <v>105</v>
      </c>
      <c r="AD877" t="n">
        <v>1</v>
      </c>
      <c r="AE877" t="n">
        <v>1</v>
      </c>
      <c r="AF877" t="n">
        <v>5</v>
      </c>
      <c r="AG877" t="n">
        <v>5</v>
      </c>
      <c r="AH877" t="n">
        <v>3</v>
      </c>
      <c r="AI877" t="n">
        <v>3</v>
      </c>
      <c r="AJ877" t="n">
        <v>1</v>
      </c>
      <c r="AK877" t="n">
        <v>1</v>
      </c>
      <c r="AL877" t="n">
        <v>3</v>
      </c>
      <c r="AM877" t="n">
        <v>3</v>
      </c>
      <c r="AN877" t="n">
        <v>0</v>
      </c>
      <c r="AO877" t="n">
        <v>0</v>
      </c>
      <c r="AP877" t="n">
        <v>0</v>
      </c>
      <c r="AQ877" t="n">
        <v>0</v>
      </c>
      <c r="AR877" t="inlineStr">
        <is>
          <t>No</t>
        </is>
      </c>
      <c r="AS877" t="inlineStr">
        <is>
          <t>Yes</t>
        </is>
      </c>
      <c r="AT877">
        <f>HYPERLINK("http://catalog.hathitrust.org/Record/003065014","HathiTrust Record")</f>
        <v/>
      </c>
      <c r="AU877">
        <f>HYPERLINK("https://creighton-primo.hosted.exlibrisgroup.com/primo-explore/search?tab=default_tab&amp;search_scope=EVERYTHING&amp;vid=01CRU&amp;lang=en_US&amp;offset=0&amp;query=any,contains,991000852729702656","Catalog Record")</f>
        <v/>
      </c>
      <c r="AV877">
        <f>HYPERLINK("http://www.worldcat.org/oclc/32705459","WorldCat Record")</f>
        <v/>
      </c>
      <c r="AW877" t="inlineStr">
        <is>
          <t>836953589:eng</t>
        </is>
      </c>
      <c r="AX877" t="inlineStr">
        <is>
          <t>32705459</t>
        </is>
      </c>
      <c r="AY877" t="inlineStr">
        <is>
          <t>991000852729702656</t>
        </is>
      </c>
      <c r="AZ877" t="inlineStr">
        <is>
          <t>991000852729702656</t>
        </is>
      </c>
      <c r="BA877" t="inlineStr">
        <is>
          <t>2271165090002656</t>
        </is>
      </c>
      <c r="BB877" t="inlineStr">
        <is>
          <t>BOOK</t>
        </is>
      </c>
      <c r="BD877" t="inlineStr">
        <is>
          <t>9780721652009</t>
        </is>
      </c>
      <c r="BE877" t="inlineStr">
        <is>
          <t>30001003474246</t>
        </is>
      </c>
      <c r="BF877" t="inlineStr">
        <is>
          <t>893648579</t>
        </is>
      </c>
    </row>
    <row r="878">
      <c r="A878" t="inlineStr">
        <is>
          <t>No</t>
        </is>
      </c>
      <c r="B878" t="inlineStr">
        <is>
          <t>CUHSL</t>
        </is>
      </c>
      <c r="C878" t="inlineStr">
        <is>
          <t>SHELVES</t>
        </is>
      </c>
      <c r="D878" t="inlineStr">
        <is>
          <t>W 84.6 P94912 1999</t>
        </is>
      </c>
      <c r="E878" t="inlineStr">
        <is>
          <t>0                      W  0084600P  94912       1999</t>
        </is>
      </c>
      <c r="F878" t="inlineStr">
        <is>
          <t>Primary care : a collaborative practice / [edited by] Terry Mahan Buttaro ... [et al.].</t>
        </is>
      </c>
      <c r="H878" t="inlineStr">
        <is>
          <t>No</t>
        </is>
      </c>
      <c r="I878" t="inlineStr">
        <is>
          <t>1</t>
        </is>
      </c>
      <c r="J878" t="inlineStr">
        <is>
          <t>No</t>
        </is>
      </c>
      <c r="K878" t="inlineStr">
        <is>
          <t>Yes</t>
        </is>
      </c>
      <c r="L878" t="inlineStr">
        <is>
          <t>0</t>
        </is>
      </c>
      <c r="N878" t="inlineStr">
        <is>
          <t>St. Louis : Mosby, c1999.</t>
        </is>
      </c>
      <c r="O878" t="inlineStr">
        <is>
          <t>1999</t>
        </is>
      </c>
      <c r="Q878" t="inlineStr">
        <is>
          <t>eng</t>
        </is>
      </c>
      <c r="R878" t="inlineStr">
        <is>
          <t>mou</t>
        </is>
      </c>
      <c r="T878" t="inlineStr">
        <is>
          <t xml:space="preserve">W  </t>
        </is>
      </c>
      <c r="U878" t="n">
        <v>1</v>
      </c>
      <c r="V878" t="n">
        <v>1</v>
      </c>
      <c r="W878" t="inlineStr">
        <is>
          <t>2000-11-18</t>
        </is>
      </c>
      <c r="X878" t="inlineStr">
        <is>
          <t>2000-11-18</t>
        </is>
      </c>
      <c r="Y878" t="inlineStr">
        <is>
          <t>1999-08-20</t>
        </is>
      </c>
      <c r="Z878" t="inlineStr">
        <is>
          <t>1999-08-20</t>
        </is>
      </c>
      <c r="AA878" t="n">
        <v>187</v>
      </c>
      <c r="AB878" t="n">
        <v>152</v>
      </c>
      <c r="AC878" t="n">
        <v>506</v>
      </c>
      <c r="AD878" t="n">
        <v>1</v>
      </c>
      <c r="AE878" t="n">
        <v>3</v>
      </c>
      <c r="AF878" t="n">
        <v>6</v>
      </c>
      <c r="AG878" t="n">
        <v>25</v>
      </c>
      <c r="AH878" t="n">
        <v>4</v>
      </c>
      <c r="AI878" t="n">
        <v>12</v>
      </c>
      <c r="AJ878" t="n">
        <v>2</v>
      </c>
      <c r="AK878" t="n">
        <v>5</v>
      </c>
      <c r="AL878" t="n">
        <v>3</v>
      </c>
      <c r="AM878" t="n">
        <v>13</v>
      </c>
      <c r="AN878" t="n">
        <v>0</v>
      </c>
      <c r="AO878" t="n">
        <v>2</v>
      </c>
      <c r="AP878" t="n">
        <v>0</v>
      </c>
      <c r="AQ878" t="n">
        <v>0</v>
      </c>
      <c r="AR878" t="inlineStr">
        <is>
          <t>No</t>
        </is>
      </c>
      <c r="AS878" t="inlineStr">
        <is>
          <t>Yes</t>
        </is>
      </c>
      <c r="AT878">
        <f>HYPERLINK("http://catalog.hathitrust.org/Record/004038385","HathiTrust Record")</f>
        <v/>
      </c>
      <c r="AU878">
        <f>HYPERLINK("https://creighton-primo.hosted.exlibrisgroup.com/primo-explore/search?tab=default_tab&amp;search_scope=EVERYTHING&amp;vid=01CRU&amp;lang=en_US&amp;offset=0&amp;query=any,contains,991000576229702656","Catalog Record")</f>
        <v/>
      </c>
      <c r="AV878">
        <f>HYPERLINK("http://www.worldcat.org/oclc/41211416","WorldCat Record")</f>
        <v/>
      </c>
      <c r="AW878" t="inlineStr">
        <is>
          <t>796701911:eng</t>
        </is>
      </c>
      <c r="AX878" t="inlineStr">
        <is>
          <t>41211416</t>
        </is>
      </c>
      <c r="AY878" t="inlineStr">
        <is>
          <t>991000576229702656</t>
        </is>
      </c>
      <c r="AZ878" t="inlineStr">
        <is>
          <t>991000576229702656</t>
        </is>
      </c>
      <c r="BA878" t="inlineStr">
        <is>
          <t>2260017450002656</t>
        </is>
      </c>
      <c r="BB878" t="inlineStr">
        <is>
          <t>BOOK</t>
        </is>
      </c>
      <c r="BD878" t="inlineStr">
        <is>
          <t>9780815138235</t>
        </is>
      </c>
      <c r="BE878" t="inlineStr">
        <is>
          <t>30001004011658</t>
        </is>
      </c>
      <c r="BF878" t="inlineStr">
        <is>
          <t>893641361</t>
        </is>
      </c>
    </row>
    <row r="879">
      <c r="A879" t="inlineStr">
        <is>
          <t>No</t>
        </is>
      </c>
      <c r="B879" t="inlineStr">
        <is>
          <t>CUHSL</t>
        </is>
      </c>
      <c r="C879" t="inlineStr">
        <is>
          <t>SHELVES</t>
        </is>
      </c>
      <c r="D879" t="inlineStr">
        <is>
          <t>W84.6 P94916 2006</t>
        </is>
      </c>
      <c r="E879" t="inlineStr">
        <is>
          <t>0                      W  0084600P  94916       2006</t>
        </is>
      </c>
      <c r="F879" t="inlineStr">
        <is>
          <t>Primary care medicine : office evaluation and management of the adult patient / [edited by] Allan H. Goroll, Albert G. Mulley, Jr. ; with 65 contributors.</t>
        </is>
      </c>
      <c r="H879" t="inlineStr">
        <is>
          <t>No</t>
        </is>
      </c>
      <c r="I879" t="inlineStr">
        <is>
          <t>1</t>
        </is>
      </c>
      <c r="J879" t="inlineStr">
        <is>
          <t>No</t>
        </is>
      </c>
      <c r="K879" t="inlineStr">
        <is>
          <t>Yes</t>
        </is>
      </c>
      <c r="L879" t="inlineStr">
        <is>
          <t>2</t>
        </is>
      </c>
      <c r="N879" t="inlineStr">
        <is>
          <t>Philadelphia : Lippincott Williams &amp; Wilkins, c2006.</t>
        </is>
      </c>
      <c r="O879" t="inlineStr">
        <is>
          <t>2006</t>
        </is>
      </c>
      <c r="P879" t="inlineStr">
        <is>
          <t>5th ed.</t>
        </is>
      </c>
      <c r="Q879" t="inlineStr">
        <is>
          <t>eng</t>
        </is>
      </c>
      <c r="R879" t="inlineStr">
        <is>
          <t>pau</t>
        </is>
      </c>
      <c r="T879" t="inlineStr">
        <is>
          <t xml:space="preserve">W  </t>
        </is>
      </c>
      <c r="U879" t="n">
        <v>0</v>
      </c>
      <c r="V879" t="n">
        <v>0</v>
      </c>
      <c r="W879" t="inlineStr">
        <is>
          <t>2005-11-22</t>
        </is>
      </c>
      <c r="X879" t="inlineStr">
        <is>
          <t>2005-11-22</t>
        </is>
      </c>
      <c r="Y879" t="inlineStr">
        <is>
          <t>2005-11-04</t>
        </is>
      </c>
      <c r="Z879" t="inlineStr">
        <is>
          <t>2005-11-04</t>
        </is>
      </c>
      <c r="AA879" t="n">
        <v>274</v>
      </c>
      <c r="AB879" t="n">
        <v>215</v>
      </c>
      <c r="AC879" t="n">
        <v>1151</v>
      </c>
      <c r="AD879" t="n">
        <v>2</v>
      </c>
      <c r="AE879" t="n">
        <v>15</v>
      </c>
      <c r="AF879" t="n">
        <v>8</v>
      </c>
      <c r="AG879" t="n">
        <v>45</v>
      </c>
      <c r="AH879" t="n">
        <v>2</v>
      </c>
      <c r="AI879" t="n">
        <v>12</v>
      </c>
      <c r="AJ879" t="n">
        <v>2</v>
      </c>
      <c r="AK879" t="n">
        <v>9</v>
      </c>
      <c r="AL879" t="n">
        <v>4</v>
      </c>
      <c r="AM879" t="n">
        <v>16</v>
      </c>
      <c r="AN879" t="n">
        <v>1</v>
      </c>
      <c r="AO879" t="n">
        <v>13</v>
      </c>
      <c r="AP879" t="n">
        <v>0</v>
      </c>
      <c r="AQ879" t="n">
        <v>1</v>
      </c>
      <c r="AR879" t="inlineStr">
        <is>
          <t>No</t>
        </is>
      </c>
      <c r="AS879" t="inlineStr">
        <is>
          <t>No</t>
        </is>
      </c>
      <c r="AU879">
        <f>HYPERLINK("https://creighton-primo.hosted.exlibrisgroup.com/primo-explore/search?tab=default_tab&amp;search_scope=EVERYTHING&amp;vid=01CRU&amp;lang=en_US&amp;offset=0&amp;query=any,contains,991000447409702656","Catalog Record")</f>
        <v/>
      </c>
      <c r="AV879">
        <f>HYPERLINK("http://www.worldcat.org/oclc/60414518","WorldCat Record")</f>
        <v/>
      </c>
      <c r="AW879" t="inlineStr">
        <is>
          <t>1077434923:eng</t>
        </is>
      </c>
      <c r="AX879" t="inlineStr">
        <is>
          <t>60414518</t>
        </is>
      </c>
      <c r="AY879" t="inlineStr">
        <is>
          <t>991000447409702656</t>
        </is>
      </c>
      <c r="AZ879" t="inlineStr">
        <is>
          <t>991000447409702656</t>
        </is>
      </c>
      <c r="BA879" t="inlineStr">
        <is>
          <t>2258395440002656</t>
        </is>
      </c>
      <c r="BB879" t="inlineStr">
        <is>
          <t>BOOK</t>
        </is>
      </c>
      <c r="BD879" t="inlineStr">
        <is>
          <t>9780781748780</t>
        </is>
      </c>
      <c r="BE879" t="inlineStr">
        <is>
          <t>30001004913150</t>
        </is>
      </c>
      <c r="BF879" t="inlineStr">
        <is>
          <t>893537248</t>
        </is>
      </c>
    </row>
    <row r="880">
      <c r="A880" t="inlineStr">
        <is>
          <t>No</t>
        </is>
      </c>
      <c r="B880" t="inlineStr">
        <is>
          <t>CUHSL</t>
        </is>
      </c>
      <c r="C880" t="inlineStr">
        <is>
          <t>SHELVES</t>
        </is>
      </c>
      <c r="D880" t="inlineStr">
        <is>
          <t>W84.6 P94918 2000</t>
        </is>
      </c>
      <c r="E880" t="inlineStr">
        <is>
          <t>0                      W  0084600P  94918       2000</t>
        </is>
      </c>
      <c r="F880" t="inlineStr">
        <is>
          <t>Primary care of the older adult : a multidisciplinary approach / [edited by] Mary M. Burke, Joy A. Laramie.</t>
        </is>
      </c>
      <c r="H880" t="inlineStr">
        <is>
          <t>No</t>
        </is>
      </c>
      <c r="I880" t="inlineStr">
        <is>
          <t>1</t>
        </is>
      </c>
      <c r="J880" t="inlineStr">
        <is>
          <t>No</t>
        </is>
      </c>
      <c r="K880" t="inlineStr">
        <is>
          <t>Yes</t>
        </is>
      </c>
      <c r="L880" t="inlineStr">
        <is>
          <t>0</t>
        </is>
      </c>
      <c r="N880" t="inlineStr">
        <is>
          <t>St. Louis : Mosby, c2000.</t>
        </is>
      </c>
      <c r="O880" t="inlineStr">
        <is>
          <t>2000</t>
        </is>
      </c>
      <c r="P880" t="inlineStr">
        <is>
          <t>1st ed.</t>
        </is>
      </c>
      <c r="Q880" t="inlineStr">
        <is>
          <t>eng</t>
        </is>
      </c>
      <c r="R880" t="inlineStr">
        <is>
          <t>mou</t>
        </is>
      </c>
      <c r="T880" t="inlineStr">
        <is>
          <t xml:space="preserve">W  </t>
        </is>
      </c>
      <c r="U880" t="n">
        <v>2</v>
      </c>
      <c r="V880" t="n">
        <v>2</v>
      </c>
      <c r="W880" t="inlineStr">
        <is>
          <t>2006-01-18</t>
        </is>
      </c>
      <c r="X880" t="inlineStr">
        <is>
          <t>2006-01-18</t>
        </is>
      </c>
      <c r="Y880" t="inlineStr">
        <is>
          <t>2002-06-27</t>
        </is>
      </c>
      <c r="Z880" t="inlineStr">
        <is>
          <t>2002-06-27</t>
        </is>
      </c>
      <c r="AA880" t="n">
        <v>381</v>
      </c>
      <c r="AB880" t="n">
        <v>299</v>
      </c>
      <c r="AC880" t="n">
        <v>445</v>
      </c>
      <c r="AD880" t="n">
        <v>1</v>
      </c>
      <c r="AE880" t="n">
        <v>2</v>
      </c>
      <c r="AF880" t="n">
        <v>14</v>
      </c>
      <c r="AG880" t="n">
        <v>23</v>
      </c>
      <c r="AH880" t="n">
        <v>9</v>
      </c>
      <c r="AI880" t="n">
        <v>13</v>
      </c>
      <c r="AJ880" t="n">
        <v>2</v>
      </c>
      <c r="AK880" t="n">
        <v>3</v>
      </c>
      <c r="AL880" t="n">
        <v>8</v>
      </c>
      <c r="AM880" t="n">
        <v>12</v>
      </c>
      <c r="AN880" t="n">
        <v>0</v>
      </c>
      <c r="AO880" t="n">
        <v>1</v>
      </c>
      <c r="AP880" t="n">
        <v>0</v>
      </c>
      <c r="AQ880" t="n">
        <v>0</v>
      </c>
      <c r="AR880" t="inlineStr">
        <is>
          <t>No</t>
        </is>
      </c>
      <c r="AS880" t="inlineStr">
        <is>
          <t>Yes</t>
        </is>
      </c>
      <c r="AT880">
        <f>HYPERLINK("http://catalog.hathitrust.org/Record/004094983","HathiTrust Record")</f>
        <v/>
      </c>
      <c r="AU880">
        <f>HYPERLINK("https://creighton-primo.hosted.exlibrisgroup.com/primo-explore/search?tab=default_tab&amp;search_scope=EVERYTHING&amp;vid=01CRU&amp;lang=en_US&amp;offset=0&amp;query=any,contains,991001714749702656","Catalog Record")</f>
        <v/>
      </c>
      <c r="AV880">
        <f>HYPERLINK("http://www.worldcat.org/oclc/42969532","WorldCat Record")</f>
        <v/>
      </c>
      <c r="AW880" t="inlineStr">
        <is>
          <t>837020357:eng</t>
        </is>
      </c>
      <c r="AX880" t="inlineStr">
        <is>
          <t>42969532</t>
        </is>
      </c>
      <c r="AY880" t="inlineStr">
        <is>
          <t>991001714749702656</t>
        </is>
      </c>
      <c r="AZ880" t="inlineStr">
        <is>
          <t>991001714749702656</t>
        </is>
      </c>
      <c r="BA880" t="inlineStr">
        <is>
          <t>2266510690002656</t>
        </is>
      </c>
      <c r="BB880" t="inlineStr">
        <is>
          <t>BOOK</t>
        </is>
      </c>
      <c r="BD880" t="inlineStr">
        <is>
          <t>9780815189169</t>
        </is>
      </c>
      <c r="BE880" t="inlineStr">
        <is>
          <t>30001004442416</t>
        </is>
      </c>
      <c r="BF880" t="inlineStr">
        <is>
          <t>893552702</t>
        </is>
      </c>
    </row>
    <row r="881">
      <c r="A881" t="inlineStr">
        <is>
          <t>No</t>
        </is>
      </c>
      <c r="B881" t="inlineStr">
        <is>
          <t>CUHSL</t>
        </is>
      </c>
      <c r="C881" t="inlineStr">
        <is>
          <t>SHELVES</t>
        </is>
      </c>
      <c r="D881" t="inlineStr">
        <is>
          <t>W 84.6 P9493 1991</t>
        </is>
      </c>
      <c r="E881" t="inlineStr">
        <is>
          <t>0                      W  0084600P  9493        1991</t>
        </is>
      </c>
      <c r="F881" t="inlineStr">
        <is>
          <t>Primary care research : traditional and innovative approaches / edited by Peter G. Norton ... [et al.].</t>
        </is>
      </c>
      <c r="H881" t="inlineStr">
        <is>
          <t>No</t>
        </is>
      </c>
      <c r="I881" t="inlineStr">
        <is>
          <t>1</t>
        </is>
      </c>
      <c r="J881" t="inlineStr">
        <is>
          <t>No</t>
        </is>
      </c>
      <c r="K881" t="inlineStr">
        <is>
          <t>No</t>
        </is>
      </c>
      <c r="L881" t="inlineStr">
        <is>
          <t>0</t>
        </is>
      </c>
      <c r="N881" t="inlineStr">
        <is>
          <t>Newbury Park : Sage Publications, c1991.</t>
        </is>
      </c>
      <c r="O881" t="inlineStr">
        <is>
          <t>1991</t>
        </is>
      </c>
      <c r="Q881" t="inlineStr">
        <is>
          <t>eng</t>
        </is>
      </c>
      <c r="R881" t="inlineStr">
        <is>
          <t>xxu</t>
        </is>
      </c>
      <c r="S881" t="inlineStr">
        <is>
          <t>Research methods for primary care ; v. 1</t>
        </is>
      </c>
      <c r="T881" t="inlineStr">
        <is>
          <t xml:space="preserve">W  </t>
        </is>
      </c>
      <c r="U881" t="n">
        <v>5</v>
      </c>
      <c r="V881" t="n">
        <v>5</v>
      </c>
      <c r="W881" t="inlineStr">
        <is>
          <t>1997-10-05</t>
        </is>
      </c>
      <c r="X881" t="inlineStr">
        <is>
          <t>1997-10-05</t>
        </is>
      </c>
      <c r="Y881" t="inlineStr">
        <is>
          <t>1992-09-04</t>
        </is>
      </c>
      <c r="Z881" t="inlineStr">
        <is>
          <t>1992-09-04</t>
        </is>
      </c>
      <c r="AA881" t="n">
        <v>267</v>
      </c>
      <c r="AB881" t="n">
        <v>177</v>
      </c>
      <c r="AC881" t="n">
        <v>177</v>
      </c>
      <c r="AD881" t="n">
        <v>2</v>
      </c>
      <c r="AE881" t="n">
        <v>2</v>
      </c>
      <c r="AF881" t="n">
        <v>8</v>
      </c>
      <c r="AG881" t="n">
        <v>8</v>
      </c>
      <c r="AH881" t="n">
        <v>3</v>
      </c>
      <c r="AI881" t="n">
        <v>3</v>
      </c>
      <c r="AJ881" t="n">
        <v>2</v>
      </c>
      <c r="AK881" t="n">
        <v>2</v>
      </c>
      <c r="AL881" t="n">
        <v>6</v>
      </c>
      <c r="AM881" t="n">
        <v>6</v>
      </c>
      <c r="AN881" t="n">
        <v>1</v>
      </c>
      <c r="AO881" t="n">
        <v>1</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HYPERLINK("https://creighton-primo.hosted.exlibrisgroup.com/primo-explore/search?tab=default_tab&amp;search_scope=EVERYTHING&amp;vid=01CRU&amp;lang=en_US&amp;offset=0&amp;query=any,contains,991001341409702656","Catalog Record")</f>
        <v/>
      </c>
      <c r="AV881">
        <f>HYPERLINK("http://www.worldcat.org/oclc/22664412","WorldCat Record")</f>
        <v/>
      </c>
      <c r="AW881" t="inlineStr">
        <is>
          <t>836747251:eng</t>
        </is>
      </c>
      <c r="AX881" t="inlineStr">
        <is>
          <t>22664412</t>
        </is>
      </c>
      <c r="AY881" t="inlineStr">
        <is>
          <t>991001341409702656</t>
        </is>
      </c>
      <c r="AZ881" t="inlineStr">
        <is>
          <t>991001341409702656</t>
        </is>
      </c>
      <c r="BA881" t="inlineStr">
        <is>
          <t>2261219770002656</t>
        </is>
      </c>
      <c r="BB881" t="inlineStr">
        <is>
          <t>BOOK</t>
        </is>
      </c>
      <c r="BD881" t="inlineStr">
        <is>
          <t>9780803938700</t>
        </is>
      </c>
      <c r="BE881" t="inlineStr">
        <is>
          <t>30001002455907</t>
        </is>
      </c>
      <c r="BF881" t="inlineStr">
        <is>
          <t>893287359</t>
        </is>
      </c>
    </row>
    <row r="882">
      <c r="A882" t="inlineStr">
        <is>
          <t>No</t>
        </is>
      </c>
      <c r="B882" t="inlineStr">
        <is>
          <t>CUHSL</t>
        </is>
      </c>
      <c r="C882" t="inlineStr">
        <is>
          <t>SHELVES</t>
        </is>
      </c>
      <c r="D882" t="inlineStr">
        <is>
          <t>W 84.6 P953 1972</t>
        </is>
      </c>
      <c r="E882" t="inlineStr">
        <is>
          <t>0                      W  0084600P  953         1972</t>
        </is>
      </c>
      <c r="F882" t="inlineStr">
        <is>
          <t>Primary health care - everybody's business : papers presented at the sixth annual meeting of the Council of Hospital and Related Institutional Nursing Services held at Miami Beach, Florida, on October 12-13, 1972.</t>
        </is>
      </c>
      <c r="H882" t="inlineStr">
        <is>
          <t>No</t>
        </is>
      </c>
      <c r="I882" t="inlineStr">
        <is>
          <t>1</t>
        </is>
      </c>
      <c r="J882" t="inlineStr">
        <is>
          <t>No</t>
        </is>
      </c>
      <c r="K882" t="inlineStr">
        <is>
          <t>No</t>
        </is>
      </c>
      <c r="L882" t="inlineStr">
        <is>
          <t>0</t>
        </is>
      </c>
      <c r="N882" t="inlineStr">
        <is>
          <t>New York : National League for Nursing, c1973.</t>
        </is>
      </c>
      <c r="O882" t="inlineStr">
        <is>
          <t>1972</t>
        </is>
      </c>
      <c r="Q882" t="inlineStr">
        <is>
          <t>eng</t>
        </is>
      </c>
      <c r="R882" t="inlineStr">
        <is>
          <t>nyu</t>
        </is>
      </c>
      <c r="S882" t="inlineStr">
        <is>
          <t>NLN pub. no. 20-1482</t>
        </is>
      </c>
      <c r="T882" t="inlineStr">
        <is>
          <t xml:space="preserve">W  </t>
        </is>
      </c>
      <c r="U882" t="n">
        <v>1</v>
      </c>
      <c r="V882" t="n">
        <v>1</v>
      </c>
      <c r="W882" t="inlineStr">
        <is>
          <t>1990-05-04</t>
        </is>
      </c>
      <c r="X882" t="inlineStr">
        <is>
          <t>1990-05-04</t>
        </is>
      </c>
      <c r="Y882" t="inlineStr">
        <is>
          <t>1987-11-04</t>
        </is>
      </c>
      <c r="Z882" t="inlineStr">
        <is>
          <t>1987-11-04</t>
        </is>
      </c>
      <c r="AA882" t="n">
        <v>67</v>
      </c>
      <c r="AB882" t="n">
        <v>62</v>
      </c>
      <c r="AC882" t="n">
        <v>82</v>
      </c>
      <c r="AD882" t="n">
        <v>1</v>
      </c>
      <c r="AE882" t="n">
        <v>1</v>
      </c>
      <c r="AF882" t="n">
        <v>3</v>
      </c>
      <c r="AG882" t="n">
        <v>3</v>
      </c>
      <c r="AH882" t="n">
        <v>0</v>
      </c>
      <c r="AI882" t="n">
        <v>0</v>
      </c>
      <c r="AJ882" t="n">
        <v>1</v>
      </c>
      <c r="AK882" t="n">
        <v>1</v>
      </c>
      <c r="AL882" t="n">
        <v>3</v>
      </c>
      <c r="AM882" t="n">
        <v>3</v>
      </c>
      <c r="AN882" t="n">
        <v>0</v>
      </c>
      <c r="AO882" t="n">
        <v>0</v>
      </c>
      <c r="AP882" t="n">
        <v>0</v>
      </c>
      <c r="AQ882" t="n">
        <v>0</v>
      </c>
      <c r="AR882" t="inlineStr">
        <is>
          <t>No</t>
        </is>
      </c>
      <c r="AS882" t="inlineStr">
        <is>
          <t>No</t>
        </is>
      </c>
      <c r="AU882">
        <f>HYPERLINK("https://creighton-primo.hosted.exlibrisgroup.com/primo-explore/search?tab=default_tab&amp;search_scope=EVERYTHING&amp;vid=01CRU&amp;lang=en_US&amp;offset=0&amp;query=any,contains,991001384319702656","Catalog Record")</f>
        <v/>
      </c>
      <c r="AV882">
        <f>HYPERLINK("http://www.worldcat.org/oclc/2932038","WorldCat Record")</f>
        <v/>
      </c>
      <c r="AW882" t="inlineStr">
        <is>
          <t>6858193:eng</t>
        </is>
      </c>
      <c r="AX882" t="inlineStr">
        <is>
          <t>2932038</t>
        </is>
      </c>
      <c r="AY882" t="inlineStr">
        <is>
          <t>991001384319702656</t>
        </is>
      </c>
      <c r="AZ882" t="inlineStr">
        <is>
          <t>991001384319702656</t>
        </is>
      </c>
      <c r="BA882" t="inlineStr">
        <is>
          <t>2258668300002656</t>
        </is>
      </c>
      <c r="BB882" t="inlineStr">
        <is>
          <t>BOOK</t>
        </is>
      </c>
      <c r="BE882" t="inlineStr">
        <is>
          <t>30001000463390</t>
        </is>
      </c>
      <c r="BF882" t="inlineStr">
        <is>
          <t>893557920</t>
        </is>
      </c>
    </row>
    <row r="883">
      <c r="A883" t="inlineStr">
        <is>
          <t>No</t>
        </is>
      </c>
      <c r="B883" t="inlineStr">
        <is>
          <t>CUHSL</t>
        </is>
      </c>
      <c r="C883" t="inlineStr">
        <is>
          <t>SHELVES</t>
        </is>
      </c>
      <c r="D883" t="inlineStr">
        <is>
          <t>W84.6 P963 1994</t>
        </is>
      </c>
      <c r="E883" t="inlineStr">
        <is>
          <t>0                      W  0084600P  963         1994</t>
        </is>
      </c>
      <c r="F883" t="inlineStr">
        <is>
          <t>Procedures for primary care physicians / edited by John L. Pfenninger, Grant C. Fowler ; illustrated by Theodore G. Huff and associates.</t>
        </is>
      </c>
      <c r="H883" t="inlineStr">
        <is>
          <t>No</t>
        </is>
      </c>
      <c r="I883" t="inlineStr">
        <is>
          <t>1</t>
        </is>
      </c>
      <c r="J883" t="inlineStr">
        <is>
          <t>No</t>
        </is>
      </c>
      <c r="K883" t="inlineStr">
        <is>
          <t>No</t>
        </is>
      </c>
      <c r="L883" t="inlineStr">
        <is>
          <t>0</t>
        </is>
      </c>
      <c r="N883" t="inlineStr">
        <is>
          <t>St. Louis : Mosby, c1994.</t>
        </is>
      </c>
      <c r="O883" t="inlineStr">
        <is>
          <t>1994</t>
        </is>
      </c>
      <c r="Q883" t="inlineStr">
        <is>
          <t>eng</t>
        </is>
      </c>
      <c r="R883" t="inlineStr">
        <is>
          <t>mou</t>
        </is>
      </c>
      <c r="S883" t="inlineStr">
        <is>
          <t>Mosby-Year Book primary care series</t>
        </is>
      </c>
      <c r="T883" t="inlineStr">
        <is>
          <t xml:space="preserve">W  </t>
        </is>
      </c>
      <c r="U883" t="n">
        <v>5</v>
      </c>
      <c r="V883" t="n">
        <v>5</v>
      </c>
      <c r="W883" t="inlineStr">
        <is>
          <t>1996-03-05</t>
        </is>
      </c>
      <c r="X883" t="inlineStr">
        <is>
          <t>1996-03-05</t>
        </is>
      </c>
      <c r="Y883" t="inlineStr">
        <is>
          <t>1995-12-07</t>
        </is>
      </c>
      <c r="Z883" t="inlineStr">
        <is>
          <t>1995-12-07</t>
        </is>
      </c>
      <c r="AA883" t="n">
        <v>238</v>
      </c>
      <c r="AB883" t="n">
        <v>205</v>
      </c>
      <c r="AC883" t="n">
        <v>209</v>
      </c>
      <c r="AD883" t="n">
        <v>1</v>
      </c>
      <c r="AE883" t="n">
        <v>1</v>
      </c>
      <c r="AF883" t="n">
        <v>2</v>
      </c>
      <c r="AG883" t="n">
        <v>2</v>
      </c>
      <c r="AH883" t="n">
        <v>1</v>
      </c>
      <c r="AI883" t="n">
        <v>1</v>
      </c>
      <c r="AJ883" t="n">
        <v>0</v>
      </c>
      <c r="AK883" t="n">
        <v>0</v>
      </c>
      <c r="AL883" t="n">
        <v>1</v>
      </c>
      <c r="AM883" t="n">
        <v>1</v>
      </c>
      <c r="AN883" t="n">
        <v>0</v>
      </c>
      <c r="AO883" t="n">
        <v>0</v>
      </c>
      <c r="AP883" t="n">
        <v>0</v>
      </c>
      <c r="AQ883" t="n">
        <v>0</v>
      </c>
      <c r="AR883" t="inlineStr">
        <is>
          <t>No</t>
        </is>
      </c>
      <c r="AS883" t="inlineStr">
        <is>
          <t>Yes</t>
        </is>
      </c>
      <c r="AT883">
        <f>HYPERLINK("http://catalog.hathitrust.org/Record/002900335","HathiTrust Record")</f>
        <v/>
      </c>
      <c r="AU883">
        <f>HYPERLINK("https://creighton-primo.hosted.exlibrisgroup.com/primo-explore/search?tab=default_tab&amp;search_scope=EVERYTHING&amp;vid=01CRU&amp;lang=en_US&amp;offset=0&amp;query=any,contains,991001500159702656","Catalog Record")</f>
        <v/>
      </c>
      <c r="AV883">
        <f>HYPERLINK("http://www.worldcat.org/oclc/30068082","WorldCat Record")</f>
        <v/>
      </c>
      <c r="AW883" t="inlineStr">
        <is>
          <t>503061968:eng</t>
        </is>
      </c>
      <c r="AX883" t="inlineStr">
        <is>
          <t>30068082</t>
        </is>
      </c>
      <c r="AY883" t="inlineStr">
        <is>
          <t>991001500159702656</t>
        </is>
      </c>
      <c r="AZ883" t="inlineStr">
        <is>
          <t>991001500159702656</t>
        </is>
      </c>
      <c r="BA883" t="inlineStr">
        <is>
          <t>2256531100002656</t>
        </is>
      </c>
      <c r="BB883" t="inlineStr">
        <is>
          <t>BOOK</t>
        </is>
      </c>
      <c r="BD883" t="inlineStr">
        <is>
          <t>9780801663840</t>
        </is>
      </c>
      <c r="BE883" t="inlineStr">
        <is>
          <t>30001003262328</t>
        </is>
      </c>
      <c r="BF883" t="inlineStr">
        <is>
          <t>893652048</t>
        </is>
      </c>
    </row>
    <row r="884">
      <c r="A884" t="inlineStr">
        <is>
          <t>No</t>
        </is>
      </c>
      <c r="B884" t="inlineStr">
        <is>
          <t>CUHSL</t>
        </is>
      </c>
      <c r="C884" t="inlineStr">
        <is>
          <t>SHELVES</t>
        </is>
      </c>
      <c r="D884" t="inlineStr">
        <is>
          <t>W84.6 S933 2003</t>
        </is>
      </c>
      <c r="E884" t="inlineStr">
        <is>
          <t>0                      W  0084600S  933         2003</t>
        </is>
      </c>
      <c r="F884" t="inlineStr">
        <is>
          <t>Student guide to primary care : making the most of your early clinical experience / edited by David J. Steele, Jeffrey L. Susman, Fredrick A. McCurdy.</t>
        </is>
      </c>
      <c r="H884" t="inlineStr">
        <is>
          <t>No</t>
        </is>
      </c>
      <c r="I884" t="inlineStr">
        <is>
          <t>1</t>
        </is>
      </c>
      <c r="J884" t="inlineStr">
        <is>
          <t>No</t>
        </is>
      </c>
      <c r="K884" t="inlineStr">
        <is>
          <t>No</t>
        </is>
      </c>
      <c r="L884" t="inlineStr">
        <is>
          <t>0</t>
        </is>
      </c>
      <c r="N884" t="inlineStr">
        <is>
          <t>Philadelphia : Hanley &amp; Belfus, c2003.</t>
        </is>
      </c>
      <c r="O884" t="inlineStr">
        <is>
          <t>2003</t>
        </is>
      </c>
      <c r="Q884" t="inlineStr">
        <is>
          <t>eng</t>
        </is>
      </c>
      <c r="R884" t="inlineStr">
        <is>
          <t>pau</t>
        </is>
      </c>
      <c r="T884" t="inlineStr">
        <is>
          <t xml:space="preserve">W  </t>
        </is>
      </c>
      <c r="U884" t="n">
        <v>2</v>
      </c>
      <c r="V884" t="n">
        <v>2</v>
      </c>
      <c r="W884" t="inlineStr">
        <is>
          <t>2003-04-17</t>
        </is>
      </c>
      <c r="X884" t="inlineStr">
        <is>
          <t>2003-04-17</t>
        </is>
      </c>
      <c r="Y884" t="inlineStr">
        <is>
          <t>2003-02-03</t>
        </is>
      </c>
      <c r="Z884" t="inlineStr">
        <is>
          <t>2003-02-03</t>
        </is>
      </c>
      <c r="AA884" t="n">
        <v>96</v>
      </c>
      <c r="AB884" t="n">
        <v>74</v>
      </c>
      <c r="AC884" t="n">
        <v>76</v>
      </c>
      <c r="AD884" t="n">
        <v>2</v>
      </c>
      <c r="AE884" t="n">
        <v>2</v>
      </c>
      <c r="AF884" t="n">
        <v>3</v>
      </c>
      <c r="AG884" t="n">
        <v>3</v>
      </c>
      <c r="AH884" t="n">
        <v>1</v>
      </c>
      <c r="AI884" t="n">
        <v>1</v>
      </c>
      <c r="AJ884" t="n">
        <v>0</v>
      </c>
      <c r="AK884" t="n">
        <v>0</v>
      </c>
      <c r="AL884" t="n">
        <v>1</v>
      </c>
      <c r="AM884" t="n">
        <v>1</v>
      </c>
      <c r="AN884" t="n">
        <v>1</v>
      </c>
      <c r="AO884" t="n">
        <v>1</v>
      </c>
      <c r="AP884" t="n">
        <v>0</v>
      </c>
      <c r="AQ884" t="n">
        <v>0</v>
      </c>
      <c r="AR884" t="inlineStr">
        <is>
          <t>No</t>
        </is>
      </c>
      <c r="AS884" t="inlineStr">
        <is>
          <t>Yes</t>
        </is>
      </c>
      <c r="AT884">
        <f>HYPERLINK("http://catalog.hathitrust.org/Record/004280029","HathiTrust Record")</f>
        <v/>
      </c>
      <c r="AU884">
        <f>HYPERLINK("https://creighton-primo.hosted.exlibrisgroup.com/primo-explore/search?tab=default_tab&amp;search_scope=EVERYTHING&amp;vid=01CRU&amp;lang=en_US&amp;offset=0&amp;query=any,contains,991000338799702656","Catalog Record")</f>
        <v/>
      </c>
      <c r="AV884">
        <f>HYPERLINK("http://www.worldcat.org/oclc/49874661","WorldCat Record")</f>
        <v/>
      </c>
      <c r="AW884" t="inlineStr">
        <is>
          <t>836893176:eng</t>
        </is>
      </c>
      <c r="AX884" t="inlineStr">
        <is>
          <t>49874661</t>
        </is>
      </c>
      <c r="AY884" t="inlineStr">
        <is>
          <t>991000338799702656</t>
        </is>
      </c>
      <c r="AZ884" t="inlineStr">
        <is>
          <t>991000338799702656</t>
        </is>
      </c>
      <c r="BA884" t="inlineStr">
        <is>
          <t>2267062180002656</t>
        </is>
      </c>
      <c r="BB884" t="inlineStr">
        <is>
          <t>BOOK</t>
        </is>
      </c>
      <c r="BD884" t="inlineStr">
        <is>
          <t>9781560535454</t>
        </is>
      </c>
      <c r="BE884" t="inlineStr">
        <is>
          <t>30001004501682</t>
        </is>
      </c>
      <c r="BF884" t="inlineStr">
        <is>
          <t>893639083</t>
        </is>
      </c>
    </row>
    <row r="885">
      <c r="A885" t="inlineStr">
        <is>
          <t>No</t>
        </is>
      </c>
      <c r="B885" t="inlineStr">
        <is>
          <t>CUHSL</t>
        </is>
      </c>
      <c r="C885" t="inlineStr">
        <is>
          <t>SHELVES</t>
        </is>
      </c>
      <c r="D885" t="inlineStr">
        <is>
          <t>W 84.6 W683m 1992</t>
        </is>
      </c>
      <c r="E885" t="inlineStr">
        <is>
          <t>0                      W  0084600W  683m        1992</t>
        </is>
      </c>
      <c r="F885" t="inlineStr">
        <is>
          <t>Measures of need and outcome for primary health care / David Wilkin, Lesley Hallam, and Marie-Anne Doggett.</t>
        </is>
      </c>
      <c r="H885" t="inlineStr">
        <is>
          <t>No</t>
        </is>
      </c>
      <c r="I885" t="inlineStr">
        <is>
          <t>1</t>
        </is>
      </c>
      <c r="J885" t="inlineStr">
        <is>
          <t>No</t>
        </is>
      </c>
      <c r="K885" t="inlineStr">
        <is>
          <t>No</t>
        </is>
      </c>
      <c r="L885" t="inlineStr">
        <is>
          <t>0</t>
        </is>
      </c>
      <c r="M885" t="inlineStr">
        <is>
          <t>Wilkin, David.</t>
        </is>
      </c>
      <c r="N885" t="inlineStr">
        <is>
          <t>Oxford ; New York : Oxford University Press, c1992.</t>
        </is>
      </c>
      <c r="O885" t="inlineStr">
        <is>
          <t>1992</t>
        </is>
      </c>
      <c r="Q885" t="inlineStr">
        <is>
          <t>eng</t>
        </is>
      </c>
      <c r="R885" t="inlineStr">
        <is>
          <t>enk</t>
        </is>
      </c>
      <c r="T885" t="inlineStr">
        <is>
          <t xml:space="preserve">W  </t>
        </is>
      </c>
      <c r="U885" t="n">
        <v>5</v>
      </c>
      <c r="V885" t="n">
        <v>5</v>
      </c>
      <c r="W885" t="inlineStr">
        <is>
          <t>2001-09-18</t>
        </is>
      </c>
      <c r="X885" t="inlineStr">
        <is>
          <t>2001-09-18</t>
        </is>
      </c>
      <c r="Y885" t="inlineStr">
        <is>
          <t>1992-04-08</t>
        </is>
      </c>
      <c r="Z885" t="inlineStr">
        <is>
          <t>1992-04-08</t>
        </is>
      </c>
      <c r="AA885" t="n">
        <v>185</v>
      </c>
      <c r="AB885" t="n">
        <v>108</v>
      </c>
      <c r="AC885" t="n">
        <v>137</v>
      </c>
      <c r="AD885" t="n">
        <v>1</v>
      </c>
      <c r="AE885" t="n">
        <v>1</v>
      </c>
      <c r="AF885" t="n">
        <v>3</v>
      </c>
      <c r="AG885" t="n">
        <v>5</v>
      </c>
      <c r="AH885" t="n">
        <v>1</v>
      </c>
      <c r="AI885" t="n">
        <v>1</v>
      </c>
      <c r="AJ885" t="n">
        <v>1</v>
      </c>
      <c r="AK885" t="n">
        <v>2</v>
      </c>
      <c r="AL885" t="n">
        <v>3</v>
      </c>
      <c r="AM885" t="n">
        <v>5</v>
      </c>
      <c r="AN885" t="n">
        <v>0</v>
      </c>
      <c r="AO885" t="n">
        <v>0</v>
      </c>
      <c r="AP885" t="n">
        <v>0</v>
      </c>
      <c r="AQ885" t="n">
        <v>0</v>
      </c>
      <c r="AR885" t="inlineStr">
        <is>
          <t>No</t>
        </is>
      </c>
      <c r="AS885" t="inlineStr">
        <is>
          <t>Yes</t>
        </is>
      </c>
      <c r="AT885">
        <f>HYPERLINK("http://catalog.hathitrust.org/Record/002525488","HathiTrust Record")</f>
        <v/>
      </c>
      <c r="AU885">
        <f>HYPERLINK("https://creighton-primo.hosted.exlibrisgroup.com/primo-explore/search?tab=default_tab&amp;search_scope=EVERYTHING&amp;vid=01CRU&amp;lang=en_US&amp;offset=0&amp;query=any,contains,991001301399702656","Catalog Record")</f>
        <v/>
      </c>
      <c r="AV885">
        <f>HYPERLINK("http://www.worldcat.org/oclc/24318702","WorldCat Record")</f>
        <v/>
      </c>
      <c r="AW885" t="inlineStr">
        <is>
          <t>26400820:eng</t>
        </is>
      </c>
      <c r="AX885" t="inlineStr">
        <is>
          <t>24318702</t>
        </is>
      </c>
      <c r="AY885" t="inlineStr">
        <is>
          <t>991001301399702656</t>
        </is>
      </c>
      <c r="AZ885" t="inlineStr">
        <is>
          <t>991001301399702656</t>
        </is>
      </c>
      <c r="BA885" t="inlineStr">
        <is>
          <t>2272729470002656</t>
        </is>
      </c>
      <c r="BB885" t="inlineStr">
        <is>
          <t>BOOK</t>
        </is>
      </c>
      <c r="BD885" t="inlineStr">
        <is>
          <t>9780192618184</t>
        </is>
      </c>
      <c r="BE885" t="inlineStr">
        <is>
          <t>30001002411975</t>
        </is>
      </c>
      <c r="BF885" t="inlineStr">
        <is>
          <t>893465391</t>
        </is>
      </c>
    </row>
    <row r="886">
      <c r="A886" t="inlineStr">
        <is>
          <t>No</t>
        </is>
      </c>
      <c r="B886" t="inlineStr">
        <is>
          <t>CUHSL</t>
        </is>
      </c>
      <c r="C886" t="inlineStr">
        <is>
          <t>SHELVES</t>
        </is>
      </c>
      <c r="D886" t="inlineStr">
        <is>
          <t>W84.7 D611 1996</t>
        </is>
      </c>
      <c r="E886" t="inlineStr">
        <is>
          <t>0                      W  0084700D  611         1996</t>
        </is>
      </c>
      <c r="F886" t="inlineStr">
        <is>
          <t>Disease management : a systems approach to improving patient outcomes / Warren E. Todd, David Nash, editors ; foreword by Bill Frist.</t>
        </is>
      </c>
      <c r="H886" t="inlineStr">
        <is>
          <t>No</t>
        </is>
      </c>
      <c r="I886" t="inlineStr">
        <is>
          <t>1</t>
        </is>
      </c>
      <c r="J886" t="inlineStr">
        <is>
          <t>No</t>
        </is>
      </c>
      <c r="K886" t="inlineStr">
        <is>
          <t>No</t>
        </is>
      </c>
      <c r="L886" t="inlineStr">
        <is>
          <t>0</t>
        </is>
      </c>
      <c r="N886" t="inlineStr">
        <is>
          <t>Chicago : American Hospital Pub., c1997.</t>
        </is>
      </c>
      <c r="O886" t="inlineStr">
        <is>
          <t>1997</t>
        </is>
      </c>
      <c r="Q886" t="inlineStr">
        <is>
          <t>eng</t>
        </is>
      </c>
      <c r="R886" t="inlineStr">
        <is>
          <t>ilu</t>
        </is>
      </c>
      <c r="T886" t="inlineStr">
        <is>
          <t xml:space="preserve">W  </t>
        </is>
      </c>
      <c r="U886" t="n">
        <v>33</v>
      </c>
      <c r="V886" t="n">
        <v>33</v>
      </c>
      <c r="W886" t="inlineStr">
        <is>
          <t>2005-01-24</t>
        </is>
      </c>
      <c r="X886" t="inlineStr">
        <is>
          <t>2005-01-24</t>
        </is>
      </c>
      <c r="Y886" t="inlineStr">
        <is>
          <t>1998-07-29</t>
        </is>
      </c>
      <c r="Z886" t="inlineStr">
        <is>
          <t>1998-07-29</t>
        </is>
      </c>
      <c r="AA886" t="n">
        <v>225</v>
      </c>
      <c r="AB886" t="n">
        <v>203</v>
      </c>
      <c r="AC886" t="n">
        <v>218</v>
      </c>
      <c r="AD886" t="n">
        <v>2</v>
      </c>
      <c r="AE886" t="n">
        <v>2</v>
      </c>
      <c r="AF886" t="n">
        <v>8</v>
      </c>
      <c r="AG886" t="n">
        <v>12</v>
      </c>
      <c r="AH886" t="n">
        <v>2</v>
      </c>
      <c r="AI886" t="n">
        <v>4</v>
      </c>
      <c r="AJ886" t="n">
        <v>3</v>
      </c>
      <c r="AK886" t="n">
        <v>4</v>
      </c>
      <c r="AL886" t="n">
        <v>3</v>
      </c>
      <c r="AM886" t="n">
        <v>6</v>
      </c>
      <c r="AN886" t="n">
        <v>1</v>
      </c>
      <c r="AO886" t="n">
        <v>1</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HYPERLINK("https://creighton-primo.hosted.exlibrisgroup.com/primo-explore/search?tab=default_tab&amp;search_scope=EVERYTHING&amp;vid=01CRU&amp;lang=en_US&amp;offset=0&amp;query=any,contains,991001809589702656","Catalog Record")</f>
        <v/>
      </c>
      <c r="AV886">
        <f>HYPERLINK("http://www.worldcat.org/oclc/35235612","WorldCat Record")</f>
        <v/>
      </c>
      <c r="AW886" t="inlineStr">
        <is>
          <t>478402953:eng</t>
        </is>
      </c>
      <c r="AX886" t="inlineStr">
        <is>
          <t>35235612</t>
        </is>
      </c>
      <c r="AY886" t="inlineStr">
        <is>
          <t>991001809589702656</t>
        </is>
      </c>
      <c r="AZ886" t="inlineStr">
        <is>
          <t>991001809589702656</t>
        </is>
      </c>
      <c r="BA886" t="inlineStr">
        <is>
          <t>2254834800002656</t>
        </is>
      </c>
      <c r="BB886" t="inlineStr">
        <is>
          <t>BOOK</t>
        </is>
      </c>
      <c r="BD886" t="inlineStr">
        <is>
          <t>9781556481680</t>
        </is>
      </c>
      <c r="BE886" t="inlineStr">
        <is>
          <t>30001004090744</t>
        </is>
      </c>
      <c r="BF886" t="inlineStr">
        <is>
          <t>893285339</t>
        </is>
      </c>
    </row>
    <row r="887">
      <c r="A887" t="inlineStr">
        <is>
          <t>No</t>
        </is>
      </c>
      <c r="B887" t="inlineStr">
        <is>
          <t>CUHSL</t>
        </is>
      </c>
      <c r="C887" t="inlineStr">
        <is>
          <t>SHELVES</t>
        </is>
      </c>
      <c r="D887" t="inlineStr">
        <is>
          <t>W 84.7 H434 1998</t>
        </is>
      </c>
      <c r="E887" t="inlineStr">
        <is>
          <t>0                      W  0084700H  434         1998</t>
        </is>
      </c>
      <c r="F887" t="inlineStr">
        <is>
          <t>Health care outcomes : collaborative, path-based approaches / [edited by] Suzanne Smith Blancett, Dominick L. Flarey.</t>
        </is>
      </c>
      <c r="H887" t="inlineStr">
        <is>
          <t>No</t>
        </is>
      </c>
      <c r="I887" t="inlineStr">
        <is>
          <t>1</t>
        </is>
      </c>
      <c r="J887" t="inlineStr">
        <is>
          <t>No</t>
        </is>
      </c>
      <c r="K887" t="inlineStr">
        <is>
          <t>No</t>
        </is>
      </c>
      <c r="L887" t="inlineStr">
        <is>
          <t>0</t>
        </is>
      </c>
      <c r="N887" t="inlineStr">
        <is>
          <t>Gaithersburg, Md. : Aspen Publishers, 1998.</t>
        </is>
      </c>
      <c r="O887" t="inlineStr">
        <is>
          <t>1998</t>
        </is>
      </c>
      <c r="Q887" t="inlineStr">
        <is>
          <t>eng</t>
        </is>
      </c>
      <c r="R887" t="inlineStr">
        <is>
          <t>mdu</t>
        </is>
      </c>
      <c r="T887" t="inlineStr">
        <is>
          <t xml:space="preserve">W  </t>
        </is>
      </c>
      <c r="U887" t="n">
        <v>5</v>
      </c>
      <c r="V887" t="n">
        <v>5</v>
      </c>
      <c r="W887" t="inlineStr">
        <is>
          <t>2000-04-22</t>
        </is>
      </c>
      <c r="X887" t="inlineStr">
        <is>
          <t>2000-04-22</t>
        </is>
      </c>
      <c r="Y887" t="inlineStr">
        <is>
          <t>1999-09-14</t>
        </is>
      </c>
      <c r="Z887" t="inlineStr">
        <is>
          <t>1999-09-14</t>
        </is>
      </c>
      <c r="AA887" t="n">
        <v>169</v>
      </c>
      <c r="AB887" t="n">
        <v>142</v>
      </c>
      <c r="AC887" t="n">
        <v>145</v>
      </c>
      <c r="AD887" t="n">
        <v>1</v>
      </c>
      <c r="AE887" t="n">
        <v>1</v>
      </c>
      <c r="AF887" t="n">
        <v>7</v>
      </c>
      <c r="AG887" t="n">
        <v>7</v>
      </c>
      <c r="AH887" t="n">
        <v>2</v>
      </c>
      <c r="AI887" t="n">
        <v>2</v>
      </c>
      <c r="AJ887" t="n">
        <v>2</v>
      </c>
      <c r="AK887" t="n">
        <v>2</v>
      </c>
      <c r="AL887" t="n">
        <v>5</v>
      </c>
      <c r="AM887" t="n">
        <v>5</v>
      </c>
      <c r="AN887" t="n">
        <v>0</v>
      </c>
      <c r="AO887" t="n">
        <v>0</v>
      </c>
      <c r="AP887" t="n">
        <v>0</v>
      </c>
      <c r="AQ887" t="n">
        <v>0</v>
      </c>
      <c r="AR887" t="inlineStr">
        <is>
          <t>No</t>
        </is>
      </c>
      <c r="AS887" t="inlineStr">
        <is>
          <t>Yes</t>
        </is>
      </c>
      <c r="AT887">
        <f>HYPERLINK("http://catalog.hathitrust.org/Record/003265565","HathiTrust Record")</f>
        <v/>
      </c>
      <c r="AU887">
        <f>HYPERLINK("https://creighton-primo.hosted.exlibrisgroup.com/primo-explore/search?tab=default_tab&amp;search_scope=EVERYTHING&amp;vid=01CRU&amp;lang=en_US&amp;offset=0&amp;query=any,contains,991000595419702656","Catalog Record")</f>
        <v/>
      </c>
      <c r="AV887">
        <f>HYPERLINK("http://www.worldcat.org/oclc/38431144","WorldCat Record")</f>
        <v/>
      </c>
      <c r="AW887" t="inlineStr">
        <is>
          <t>42166709:eng</t>
        </is>
      </c>
      <c r="AX887" t="inlineStr">
        <is>
          <t>38431144</t>
        </is>
      </c>
      <c r="AY887" t="inlineStr">
        <is>
          <t>991000595419702656</t>
        </is>
      </c>
      <c r="AZ887" t="inlineStr">
        <is>
          <t>991000595419702656</t>
        </is>
      </c>
      <c r="BA887" t="inlineStr">
        <is>
          <t>2258024890002656</t>
        </is>
      </c>
      <c r="BB887" t="inlineStr">
        <is>
          <t>BOOK</t>
        </is>
      </c>
      <c r="BD887" t="inlineStr">
        <is>
          <t>9780834211377</t>
        </is>
      </c>
      <c r="BE887" t="inlineStr">
        <is>
          <t>30001004014900</t>
        </is>
      </c>
      <c r="BF887" t="inlineStr">
        <is>
          <t>893454108</t>
        </is>
      </c>
    </row>
    <row r="888">
      <c r="A888" t="inlineStr">
        <is>
          <t>No</t>
        </is>
      </c>
      <c r="B888" t="inlineStr">
        <is>
          <t>CUHSL</t>
        </is>
      </c>
      <c r="C888" t="inlineStr">
        <is>
          <t>SHELVES</t>
        </is>
      </c>
      <c r="D888" t="inlineStr">
        <is>
          <t>W84.7 I612 2000</t>
        </is>
      </c>
      <c r="E888" t="inlineStr">
        <is>
          <t>0                      W  0084700I  612         2000</t>
        </is>
      </c>
      <c r="F888" t="inlineStr">
        <is>
          <t>Integrated care pathways : a practical approach to implementation / edited by Sue Middleton and Adrian Roberts.</t>
        </is>
      </c>
      <c r="H888" t="inlineStr">
        <is>
          <t>No</t>
        </is>
      </c>
      <c r="I888" t="inlineStr">
        <is>
          <t>1</t>
        </is>
      </c>
      <c r="J888" t="inlineStr">
        <is>
          <t>No</t>
        </is>
      </c>
      <c r="K888" t="inlineStr">
        <is>
          <t>No</t>
        </is>
      </c>
      <c r="L888" t="inlineStr">
        <is>
          <t>0</t>
        </is>
      </c>
      <c r="N888" t="inlineStr">
        <is>
          <t>Oxford ; Boston : Butterworth-Heinemann, 2000.</t>
        </is>
      </c>
      <c r="O888" t="inlineStr">
        <is>
          <t>2000</t>
        </is>
      </c>
      <c r="Q888" t="inlineStr">
        <is>
          <t>eng</t>
        </is>
      </c>
      <c r="R888" t="inlineStr">
        <is>
          <t>enk</t>
        </is>
      </c>
      <c r="T888" t="inlineStr">
        <is>
          <t xml:space="preserve">W  </t>
        </is>
      </c>
      <c r="U888" t="n">
        <v>0</v>
      </c>
      <c r="V888" t="n">
        <v>0</v>
      </c>
      <c r="W888" t="inlineStr">
        <is>
          <t>2002-10-17</t>
        </is>
      </c>
      <c r="X888" t="inlineStr">
        <is>
          <t>2002-10-17</t>
        </is>
      </c>
      <c r="Y888" t="inlineStr">
        <is>
          <t>2002-06-27</t>
        </is>
      </c>
      <c r="Z888" t="inlineStr">
        <is>
          <t>2002-06-27</t>
        </is>
      </c>
      <c r="AA888" t="n">
        <v>148</v>
      </c>
      <c r="AB888" t="n">
        <v>59</v>
      </c>
      <c r="AC888" t="n">
        <v>59</v>
      </c>
      <c r="AD888" t="n">
        <v>1</v>
      </c>
      <c r="AE888" t="n">
        <v>1</v>
      </c>
      <c r="AF888" t="n">
        <v>2</v>
      </c>
      <c r="AG888" t="n">
        <v>2</v>
      </c>
      <c r="AH888" t="n">
        <v>1</v>
      </c>
      <c r="AI888" t="n">
        <v>1</v>
      </c>
      <c r="AJ888" t="n">
        <v>1</v>
      </c>
      <c r="AK888" t="n">
        <v>1</v>
      </c>
      <c r="AL888" t="n">
        <v>0</v>
      </c>
      <c r="AM888" t="n">
        <v>0</v>
      </c>
      <c r="AN888" t="n">
        <v>0</v>
      </c>
      <c r="AO888" t="n">
        <v>0</v>
      </c>
      <c r="AP888" t="n">
        <v>0</v>
      </c>
      <c r="AQ888" t="n">
        <v>0</v>
      </c>
      <c r="AR888" t="inlineStr">
        <is>
          <t>No</t>
        </is>
      </c>
      <c r="AS888" t="inlineStr">
        <is>
          <t>No</t>
        </is>
      </c>
      <c r="AU888">
        <f>HYPERLINK("https://creighton-primo.hosted.exlibrisgroup.com/primo-explore/search?tab=default_tab&amp;search_scope=EVERYTHING&amp;vid=01CRU&amp;lang=en_US&amp;offset=0&amp;query=any,contains,991000318949702656","Catalog Record")</f>
        <v/>
      </c>
      <c r="AV888">
        <f>HYPERLINK("http://www.worldcat.org/oclc/47137138","WorldCat Record")</f>
        <v/>
      </c>
      <c r="AW888" t="inlineStr">
        <is>
          <t>36554689:eng</t>
        </is>
      </c>
      <c r="AX888" t="inlineStr">
        <is>
          <t>47137138</t>
        </is>
      </c>
      <c r="AY888" t="inlineStr">
        <is>
          <t>991000318949702656</t>
        </is>
      </c>
      <c r="AZ888" t="inlineStr">
        <is>
          <t>991000318949702656</t>
        </is>
      </c>
      <c r="BA888" t="inlineStr">
        <is>
          <t>2267118810002656</t>
        </is>
      </c>
      <c r="BB888" t="inlineStr">
        <is>
          <t>BOOK</t>
        </is>
      </c>
      <c r="BD888" t="inlineStr">
        <is>
          <t>9780750640879</t>
        </is>
      </c>
      <c r="BE888" t="inlineStr">
        <is>
          <t>30001004239572</t>
        </is>
      </c>
      <c r="BF888" t="inlineStr">
        <is>
          <t>893359437</t>
        </is>
      </c>
    </row>
    <row r="889">
      <c r="A889" t="inlineStr">
        <is>
          <t>No</t>
        </is>
      </c>
      <c r="B889" t="inlineStr">
        <is>
          <t>CUHSL</t>
        </is>
      </c>
      <c r="C889" t="inlineStr">
        <is>
          <t>SHELVES</t>
        </is>
      </c>
      <c r="D889" t="inlineStr">
        <is>
          <t>W 84.7 L297e 1997</t>
        </is>
      </c>
      <c r="E889" t="inlineStr">
        <is>
          <t>0                      W  0084700L  297e        1997</t>
        </is>
      </c>
      <c r="F889" t="inlineStr">
        <is>
          <t>Essentials for the activity professional in long-term care / Susan E. Lanza.</t>
        </is>
      </c>
      <c r="H889" t="inlineStr">
        <is>
          <t>No</t>
        </is>
      </c>
      <c r="I889" t="inlineStr">
        <is>
          <t>1</t>
        </is>
      </c>
      <c r="J889" t="inlineStr">
        <is>
          <t>No</t>
        </is>
      </c>
      <c r="K889" t="inlineStr">
        <is>
          <t>No</t>
        </is>
      </c>
      <c r="L889" t="inlineStr">
        <is>
          <t>0</t>
        </is>
      </c>
      <c r="M889" t="inlineStr">
        <is>
          <t>Lanza, Susan E.</t>
        </is>
      </c>
      <c r="N889" t="inlineStr">
        <is>
          <t>Albany, N.Y. : Delmar Publishers, c1997.</t>
        </is>
      </c>
      <c r="O889" t="inlineStr">
        <is>
          <t>1997</t>
        </is>
      </c>
      <c r="Q889" t="inlineStr">
        <is>
          <t>eng</t>
        </is>
      </c>
      <c r="R889" t="inlineStr">
        <is>
          <t>nyu</t>
        </is>
      </c>
      <c r="T889" t="inlineStr">
        <is>
          <t xml:space="preserve">W  </t>
        </is>
      </c>
      <c r="U889" t="n">
        <v>1</v>
      </c>
      <c r="V889" t="n">
        <v>1</v>
      </c>
      <c r="W889" t="inlineStr">
        <is>
          <t>1998-07-30</t>
        </is>
      </c>
      <c r="X889" t="inlineStr">
        <is>
          <t>1998-07-30</t>
        </is>
      </c>
      <c r="Y889" t="inlineStr">
        <is>
          <t>1998-07-29</t>
        </is>
      </c>
      <c r="Z889" t="inlineStr">
        <is>
          <t>1998-07-29</t>
        </is>
      </c>
      <c r="AA889" t="n">
        <v>78</v>
      </c>
      <c r="AB889" t="n">
        <v>68</v>
      </c>
      <c r="AC889" t="n">
        <v>68</v>
      </c>
      <c r="AD889" t="n">
        <v>1</v>
      </c>
      <c r="AE889" t="n">
        <v>1</v>
      </c>
      <c r="AF889" t="n">
        <v>0</v>
      </c>
      <c r="AG889" t="n">
        <v>0</v>
      </c>
      <c r="AH889" t="n">
        <v>0</v>
      </c>
      <c r="AI889" t="n">
        <v>0</v>
      </c>
      <c r="AJ889" t="n">
        <v>0</v>
      </c>
      <c r="AK889" t="n">
        <v>0</v>
      </c>
      <c r="AL889" t="n">
        <v>0</v>
      </c>
      <c r="AM889" t="n">
        <v>0</v>
      </c>
      <c r="AN889" t="n">
        <v>0</v>
      </c>
      <c r="AO889" t="n">
        <v>0</v>
      </c>
      <c r="AP889" t="n">
        <v>0</v>
      </c>
      <c r="AQ889" t="n">
        <v>0</v>
      </c>
      <c r="AR889" t="inlineStr">
        <is>
          <t>No</t>
        </is>
      </c>
      <c r="AS889" t="inlineStr">
        <is>
          <t>No</t>
        </is>
      </c>
      <c r="AU889">
        <f>HYPERLINK("https://creighton-primo.hosted.exlibrisgroup.com/primo-explore/search?tab=default_tab&amp;search_scope=EVERYTHING&amp;vid=01CRU&amp;lang=en_US&amp;offset=0&amp;query=any,contains,991001568189702656","Catalog Record")</f>
        <v/>
      </c>
      <c r="AV889">
        <f>HYPERLINK("http://www.worldcat.org/oclc/34724004","WorldCat Record")</f>
        <v/>
      </c>
      <c r="AW889" t="inlineStr">
        <is>
          <t>5579374929:eng</t>
        </is>
      </c>
      <c r="AX889" t="inlineStr">
        <is>
          <t>34724004</t>
        </is>
      </c>
      <c r="AY889" t="inlineStr">
        <is>
          <t>991001568189702656</t>
        </is>
      </c>
      <c r="AZ889" t="inlineStr">
        <is>
          <t>991001568189702656</t>
        </is>
      </c>
      <c r="BA889" t="inlineStr">
        <is>
          <t>2258397460002656</t>
        </is>
      </c>
      <c r="BB889" t="inlineStr">
        <is>
          <t>BOOK</t>
        </is>
      </c>
      <c r="BD889" t="inlineStr">
        <is>
          <t>9780827373877</t>
        </is>
      </c>
      <c r="BE889" t="inlineStr">
        <is>
          <t>30001004090496</t>
        </is>
      </c>
      <c r="BF889" t="inlineStr">
        <is>
          <t>893121645</t>
        </is>
      </c>
    </row>
    <row r="890">
      <c r="A890" t="inlineStr">
        <is>
          <t>No</t>
        </is>
      </c>
      <c r="B890" t="inlineStr">
        <is>
          <t>CUHSL</t>
        </is>
      </c>
      <c r="C890" t="inlineStr">
        <is>
          <t>SHELVES</t>
        </is>
      </c>
      <c r="D890" t="inlineStr">
        <is>
          <t>W84.7 L722 2004</t>
        </is>
      </c>
      <c r="E890" t="inlineStr">
        <is>
          <t>0                      W  0084700L  722         2004</t>
        </is>
      </c>
      <c r="F890" t="inlineStr">
        <is>
          <t>Life care planning and case management handbook / edited by Roger O. Weed.</t>
        </is>
      </c>
      <c r="H890" t="inlineStr">
        <is>
          <t>No</t>
        </is>
      </c>
      <c r="I890" t="inlineStr">
        <is>
          <t>1</t>
        </is>
      </c>
      <c r="J890" t="inlineStr">
        <is>
          <t>No</t>
        </is>
      </c>
      <c r="K890" t="inlineStr">
        <is>
          <t>No</t>
        </is>
      </c>
      <c r="L890" t="inlineStr">
        <is>
          <t>0</t>
        </is>
      </c>
      <c r="N890" t="inlineStr">
        <is>
          <t>Boca Raton : CRC Press, c2004.</t>
        </is>
      </c>
      <c r="O890" t="inlineStr">
        <is>
          <t>2004</t>
        </is>
      </c>
      <c r="P890" t="inlineStr">
        <is>
          <t>2nd ed.</t>
        </is>
      </c>
      <c r="Q890" t="inlineStr">
        <is>
          <t>eng</t>
        </is>
      </c>
      <c r="R890" t="inlineStr">
        <is>
          <t>flu</t>
        </is>
      </c>
      <c r="T890" t="inlineStr">
        <is>
          <t xml:space="preserve">W  </t>
        </is>
      </c>
      <c r="U890" t="n">
        <v>0</v>
      </c>
      <c r="V890" t="n">
        <v>0</v>
      </c>
      <c r="W890" t="inlineStr">
        <is>
          <t>2005-09-30</t>
        </is>
      </c>
      <c r="X890" t="inlineStr">
        <is>
          <t>2005-09-30</t>
        </is>
      </c>
      <c r="Y890" t="inlineStr">
        <is>
          <t>2005-09-29</t>
        </is>
      </c>
      <c r="Z890" t="inlineStr">
        <is>
          <t>2005-09-29</t>
        </is>
      </c>
      <c r="AA890" t="n">
        <v>110</v>
      </c>
      <c r="AB890" t="n">
        <v>79</v>
      </c>
      <c r="AC890" t="n">
        <v>276</v>
      </c>
      <c r="AD890" t="n">
        <v>1</v>
      </c>
      <c r="AE890" t="n">
        <v>3</v>
      </c>
      <c r="AF890" t="n">
        <v>1</v>
      </c>
      <c r="AG890" t="n">
        <v>9</v>
      </c>
      <c r="AH890" t="n">
        <v>0</v>
      </c>
      <c r="AI890" t="n">
        <v>2</v>
      </c>
      <c r="AJ890" t="n">
        <v>1</v>
      </c>
      <c r="AK890" t="n">
        <v>4</v>
      </c>
      <c r="AL890" t="n">
        <v>0</v>
      </c>
      <c r="AM890" t="n">
        <v>2</v>
      </c>
      <c r="AN890" t="n">
        <v>0</v>
      </c>
      <c r="AO890" t="n">
        <v>2</v>
      </c>
      <c r="AP890" t="n">
        <v>0</v>
      </c>
      <c r="AQ890" t="n">
        <v>0</v>
      </c>
      <c r="AR890" t="inlineStr">
        <is>
          <t>No</t>
        </is>
      </c>
      <c r="AS890" t="inlineStr">
        <is>
          <t>No</t>
        </is>
      </c>
      <c r="AU890">
        <f>HYPERLINK("https://creighton-primo.hosted.exlibrisgroup.com/primo-explore/search?tab=default_tab&amp;search_scope=EVERYTHING&amp;vid=01CRU&amp;lang=en_US&amp;offset=0&amp;query=any,contains,991000445309702656","Catalog Record")</f>
        <v/>
      </c>
      <c r="AV890">
        <f>HYPERLINK("http://www.worldcat.org/oclc/53285179","WorldCat Record")</f>
        <v/>
      </c>
      <c r="AW890" t="inlineStr">
        <is>
          <t>766933529:eng</t>
        </is>
      </c>
      <c r="AX890" t="inlineStr">
        <is>
          <t>53285179</t>
        </is>
      </c>
      <c r="AY890" t="inlineStr">
        <is>
          <t>991000445309702656</t>
        </is>
      </c>
      <c r="AZ890" t="inlineStr">
        <is>
          <t>991000445309702656</t>
        </is>
      </c>
      <c r="BA890" t="inlineStr">
        <is>
          <t>2259669280002656</t>
        </is>
      </c>
      <c r="BB890" t="inlineStr">
        <is>
          <t>BOOK</t>
        </is>
      </c>
      <c r="BD890" t="inlineStr">
        <is>
          <t>9780849315114</t>
        </is>
      </c>
      <c r="BE890" t="inlineStr">
        <is>
          <t>30001004913622</t>
        </is>
      </c>
      <c r="BF890" t="inlineStr">
        <is>
          <t>893461505</t>
        </is>
      </c>
    </row>
    <row r="891">
      <c r="A891" t="inlineStr">
        <is>
          <t>No</t>
        </is>
      </c>
      <c r="B891" t="inlineStr">
        <is>
          <t>CUHSL</t>
        </is>
      </c>
      <c r="C891" t="inlineStr">
        <is>
          <t>SHELVES</t>
        </is>
      </c>
      <c r="D891" t="inlineStr">
        <is>
          <t>W 84.7 P712 1997</t>
        </is>
      </c>
      <c r="E891" t="inlineStr">
        <is>
          <t>0                      W  0084700P  712         1997</t>
        </is>
      </c>
      <c r="F891" t="inlineStr">
        <is>
          <t>Planning, implementing, and evaluating critical pathways : a guide for health care survival into the 21st century / Patricia C. Dykes, Kathleen Wheeler, editors.</t>
        </is>
      </c>
      <c r="H891" t="inlineStr">
        <is>
          <t>No</t>
        </is>
      </c>
      <c r="I891" t="inlineStr">
        <is>
          <t>1</t>
        </is>
      </c>
      <c r="J891" t="inlineStr">
        <is>
          <t>No</t>
        </is>
      </c>
      <c r="K891" t="inlineStr">
        <is>
          <t>No</t>
        </is>
      </c>
      <c r="L891" t="inlineStr">
        <is>
          <t>0</t>
        </is>
      </c>
      <c r="N891" t="inlineStr">
        <is>
          <t>New York : Springer, c1997.</t>
        </is>
      </c>
      <c r="O891" t="inlineStr">
        <is>
          <t>1997</t>
        </is>
      </c>
      <c r="Q891" t="inlineStr">
        <is>
          <t>eng</t>
        </is>
      </c>
      <c r="R891" t="inlineStr">
        <is>
          <t>nyu</t>
        </is>
      </c>
      <c r="T891" t="inlineStr">
        <is>
          <t xml:space="preserve">W  </t>
        </is>
      </c>
      <c r="U891" t="n">
        <v>10</v>
      </c>
      <c r="V891" t="n">
        <v>10</v>
      </c>
      <c r="W891" t="inlineStr">
        <is>
          <t>2001-11-26</t>
        </is>
      </c>
      <c r="X891" t="inlineStr">
        <is>
          <t>2001-11-26</t>
        </is>
      </c>
      <c r="Y891" t="inlineStr">
        <is>
          <t>1998-07-29</t>
        </is>
      </c>
      <c r="Z891" t="inlineStr">
        <is>
          <t>1998-07-29</t>
        </is>
      </c>
      <c r="AA891" t="n">
        <v>238</v>
      </c>
      <c r="AB891" t="n">
        <v>191</v>
      </c>
      <c r="AC891" t="n">
        <v>198</v>
      </c>
      <c r="AD891" t="n">
        <v>2</v>
      </c>
      <c r="AE891" t="n">
        <v>2</v>
      </c>
      <c r="AF891" t="n">
        <v>12</v>
      </c>
      <c r="AG891" t="n">
        <v>12</v>
      </c>
      <c r="AH891" t="n">
        <v>4</v>
      </c>
      <c r="AI891" t="n">
        <v>4</v>
      </c>
      <c r="AJ891" t="n">
        <v>2</v>
      </c>
      <c r="AK891" t="n">
        <v>2</v>
      </c>
      <c r="AL891" t="n">
        <v>7</v>
      </c>
      <c r="AM891" t="n">
        <v>7</v>
      </c>
      <c r="AN891" t="n">
        <v>1</v>
      </c>
      <c r="AO891" t="n">
        <v>1</v>
      </c>
      <c r="AP891" t="n">
        <v>0</v>
      </c>
      <c r="AQ891" t="n">
        <v>0</v>
      </c>
      <c r="AR891" t="inlineStr">
        <is>
          <t>No</t>
        </is>
      </c>
      <c r="AS891" t="inlineStr">
        <is>
          <t>Yes</t>
        </is>
      </c>
      <c r="AT891">
        <f>HYPERLINK("http://catalog.hathitrust.org/Record/003168794","HathiTrust Record")</f>
        <v/>
      </c>
      <c r="AU891">
        <f>HYPERLINK("https://creighton-primo.hosted.exlibrisgroup.com/primo-explore/search?tab=default_tab&amp;search_scope=EVERYTHING&amp;vid=01CRU&amp;lang=en_US&amp;offset=0&amp;query=any,contains,991001568239702656","Catalog Record")</f>
        <v/>
      </c>
      <c r="AV891">
        <f>HYPERLINK("http://www.worldcat.org/oclc/36768419","WorldCat Record")</f>
        <v/>
      </c>
      <c r="AW891" t="inlineStr">
        <is>
          <t>504866780:eng</t>
        </is>
      </c>
      <c r="AX891" t="inlineStr">
        <is>
          <t>36768419</t>
        </is>
      </c>
      <c r="AY891" t="inlineStr">
        <is>
          <t>991001568239702656</t>
        </is>
      </c>
      <c r="AZ891" t="inlineStr">
        <is>
          <t>991001568239702656</t>
        </is>
      </c>
      <c r="BA891" t="inlineStr">
        <is>
          <t>2261697560002656</t>
        </is>
      </c>
      <c r="BB891" t="inlineStr">
        <is>
          <t>BOOK</t>
        </is>
      </c>
      <c r="BD891" t="inlineStr">
        <is>
          <t>9780826197900</t>
        </is>
      </c>
      <c r="BE891" t="inlineStr">
        <is>
          <t>30001004090579</t>
        </is>
      </c>
      <c r="BF891" t="inlineStr">
        <is>
          <t>893652082</t>
        </is>
      </c>
    </row>
    <row r="892">
      <c r="A892" t="inlineStr">
        <is>
          <t>No</t>
        </is>
      </c>
      <c r="B892" t="inlineStr">
        <is>
          <t>CUHSL</t>
        </is>
      </c>
      <c r="C892" t="inlineStr">
        <is>
          <t>SHELVES</t>
        </is>
      </c>
      <c r="D892" t="inlineStr">
        <is>
          <t>W 84.7 Q7s 1993</t>
        </is>
      </c>
      <c r="E892" t="inlineStr">
        <is>
          <t>0                      W  0084700Q  7s          1993</t>
        </is>
      </c>
      <c r="F892" t="inlineStr">
        <is>
          <t>Successful case management in long-term care / Joan Quinn.</t>
        </is>
      </c>
      <c r="H892" t="inlineStr">
        <is>
          <t>No</t>
        </is>
      </c>
      <c r="I892" t="inlineStr">
        <is>
          <t>1</t>
        </is>
      </c>
      <c r="J892" t="inlineStr">
        <is>
          <t>No</t>
        </is>
      </c>
      <c r="K892" t="inlineStr">
        <is>
          <t>No</t>
        </is>
      </c>
      <c r="L892" t="inlineStr">
        <is>
          <t>0</t>
        </is>
      </c>
      <c r="M892" t="inlineStr">
        <is>
          <t>Quinn, Joan.</t>
        </is>
      </c>
      <c r="N892" t="inlineStr">
        <is>
          <t>New York : Springer Pub. Co., c1993.</t>
        </is>
      </c>
      <c r="O892" t="inlineStr">
        <is>
          <t>1993</t>
        </is>
      </c>
      <c r="Q892" t="inlineStr">
        <is>
          <t>eng</t>
        </is>
      </c>
      <c r="R892" t="inlineStr">
        <is>
          <t>nyu</t>
        </is>
      </c>
      <c r="T892" t="inlineStr">
        <is>
          <t xml:space="preserve">W  </t>
        </is>
      </c>
      <c r="U892" t="n">
        <v>8</v>
      </c>
      <c r="V892" t="n">
        <v>8</v>
      </c>
      <c r="W892" t="inlineStr">
        <is>
          <t>2005-09-26</t>
        </is>
      </c>
      <c r="X892" t="inlineStr">
        <is>
          <t>2005-09-26</t>
        </is>
      </c>
      <c r="Y892" t="inlineStr">
        <is>
          <t>1993-08-23</t>
        </is>
      </c>
      <c r="Z892" t="inlineStr">
        <is>
          <t>1993-08-23</t>
        </is>
      </c>
      <c r="AA892" t="n">
        <v>191</v>
      </c>
      <c r="AB892" t="n">
        <v>165</v>
      </c>
      <c r="AC892" t="n">
        <v>170</v>
      </c>
      <c r="AD892" t="n">
        <v>1</v>
      </c>
      <c r="AE892" t="n">
        <v>1</v>
      </c>
      <c r="AF892" t="n">
        <v>8</v>
      </c>
      <c r="AG892" t="n">
        <v>8</v>
      </c>
      <c r="AH892" t="n">
        <v>2</v>
      </c>
      <c r="AI892" t="n">
        <v>2</v>
      </c>
      <c r="AJ892" t="n">
        <v>3</v>
      </c>
      <c r="AK892" t="n">
        <v>3</v>
      </c>
      <c r="AL892" t="n">
        <v>4</v>
      </c>
      <c r="AM892" t="n">
        <v>4</v>
      </c>
      <c r="AN892" t="n">
        <v>0</v>
      </c>
      <c r="AO892" t="n">
        <v>0</v>
      </c>
      <c r="AP892" t="n">
        <v>0</v>
      </c>
      <c r="AQ892" t="n">
        <v>0</v>
      </c>
      <c r="AR892" t="inlineStr">
        <is>
          <t>No</t>
        </is>
      </c>
      <c r="AS892" t="inlineStr">
        <is>
          <t>No</t>
        </is>
      </c>
      <c r="AU892">
        <f>HYPERLINK("https://creighton-primo.hosted.exlibrisgroup.com/primo-explore/search?tab=default_tab&amp;search_scope=EVERYTHING&amp;vid=01CRU&amp;lang=en_US&amp;offset=0&amp;query=any,contains,991001547209702656","Catalog Record")</f>
        <v/>
      </c>
      <c r="AV892">
        <f>HYPERLINK("http://www.worldcat.org/oclc/26935117","WorldCat Record")</f>
        <v/>
      </c>
      <c r="AW892" t="inlineStr">
        <is>
          <t>356657:eng</t>
        </is>
      </c>
      <c r="AX892" t="inlineStr">
        <is>
          <t>26935117</t>
        </is>
      </c>
      <c r="AY892" t="inlineStr">
        <is>
          <t>991001547209702656</t>
        </is>
      </c>
      <c r="AZ892" t="inlineStr">
        <is>
          <t>991001547209702656</t>
        </is>
      </c>
      <c r="BA892" t="inlineStr">
        <is>
          <t>2262486460002656</t>
        </is>
      </c>
      <c r="BB892" t="inlineStr">
        <is>
          <t>BOOK</t>
        </is>
      </c>
      <c r="BD892" t="inlineStr">
        <is>
          <t>9780826177506</t>
        </is>
      </c>
      <c r="BE892" t="inlineStr">
        <is>
          <t>30001002643684</t>
        </is>
      </c>
      <c r="BF892" t="inlineStr">
        <is>
          <t>893652067</t>
        </is>
      </c>
    </row>
    <row r="893">
      <c r="A893" t="inlineStr">
        <is>
          <t>No</t>
        </is>
      </c>
      <c r="B893" t="inlineStr">
        <is>
          <t>CUHSL</t>
        </is>
      </c>
      <c r="C893" t="inlineStr">
        <is>
          <t>SHELVES</t>
        </is>
      </c>
      <c r="D893" t="inlineStr">
        <is>
          <t>W84.7 R833c 1999</t>
        </is>
      </c>
      <c r="E893" t="inlineStr">
        <is>
          <t>0                      W  0084700R  833c        1999</t>
        </is>
      </c>
      <c r="F893" t="inlineStr">
        <is>
          <t>Case management in healthcare : a practical guide / Peggy Rossi.</t>
        </is>
      </c>
      <c r="H893" t="inlineStr">
        <is>
          <t>No</t>
        </is>
      </c>
      <c r="I893" t="inlineStr">
        <is>
          <t>1</t>
        </is>
      </c>
      <c r="J893" t="inlineStr">
        <is>
          <t>No</t>
        </is>
      </c>
      <c r="K893" t="inlineStr">
        <is>
          <t>No</t>
        </is>
      </c>
      <c r="L893" t="inlineStr">
        <is>
          <t>0</t>
        </is>
      </c>
      <c r="M893" t="inlineStr">
        <is>
          <t>Rossi, Peggy.</t>
        </is>
      </c>
      <c r="N893" t="inlineStr">
        <is>
          <t>Philadelphia : W.B. Saunders, c1999.</t>
        </is>
      </c>
      <c r="O893" t="inlineStr">
        <is>
          <t>1999</t>
        </is>
      </c>
      <c r="Q893" t="inlineStr">
        <is>
          <t>eng</t>
        </is>
      </c>
      <c r="R893" t="inlineStr">
        <is>
          <t>pau</t>
        </is>
      </c>
      <c r="T893" t="inlineStr">
        <is>
          <t xml:space="preserve">W  </t>
        </is>
      </c>
      <c r="U893" t="n">
        <v>3</v>
      </c>
      <c r="V893" t="n">
        <v>3</v>
      </c>
      <c r="W893" t="inlineStr">
        <is>
          <t>2010-06-23</t>
        </is>
      </c>
      <c r="X893" t="inlineStr">
        <is>
          <t>2010-06-23</t>
        </is>
      </c>
      <c r="Y893" t="inlineStr">
        <is>
          <t>2002-07-02</t>
        </is>
      </c>
      <c r="Z893" t="inlineStr">
        <is>
          <t>2002-07-02</t>
        </is>
      </c>
      <c r="AA893" t="n">
        <v>241</v>
      </c>
      <c r="AB893" t="n">
        <v>197</v>
      </c>
      <c r="AC893" t="n">
        <v>199</v>
      </c>
      <c r="AD893" t="n">
        <v>1</v>
      </c>
      <c r="AE893" t="n">
        <v>1</v>
      </c>
      <c r="AF893" t="n">
        <v>8</v>
      </c>
      <c r="AG893" t="n">
        <v>8</v>
      </c>
      <c r="AH893" t="n">
        <v>3</v>
      </c>
      <c r="AI893" t="n">
        <v>3</v>
      </c>
      <c r="AJ893" t="n">
        <v>1</v>
      </c>
      <c r="AK893" t="n">
        <v>1</v>
      </c>
      <c r="AL893" t="n">
        <v>6</v>
      </c>
      <c r="AM893" t="n">
        <v>6</v>
      </c>
      <c r="AN893" t="n">
        <v>0</v>
      </c>
      <c r="AO893" t="n">
        <v>0</v>
      </c>
      <c r="AP893" t="n">
        <v>0</v>
      </c>
      <c r="AQ893" t="n">
        <v>0</v>
      </c>
      <c r="AR893" t="inlineStr">
        <is>
          <t>No</t>
        </is>
      </c>
      <c r="AS893" t="inlineStr">
        <is>
          <t>Yes</t>
        </is>
      </c>
      <c r="AT893">
        <f>HYPERLINK("http://catalog.hathitrust.org/Record/004570198","HathiTrust Record")</f>
        <v/>
      </c>
      <c r="AU893">
        <f>HYPERLINK("https://creighton-primo.hosted.exlibrisgroup.com/primo-explore/search?tab=default_tab&amp;search_scope=EVERYTHING&amp;vid=01CRU&amp;lang=en_US&amp;offset=0&amp;query=any,contains,991000320939702656","Catalog Record")</f>
        <v/>
      </c>
      <c r="AV893">
        <f>HYPERLINK("http://www.worldcat.org/oclc/38386709","WorldCat Record")</f>
        <v/>
      </c>
      <c r="AW893" t="inlineStr">
        <is>
          <t>4417394142:eng</t>
        </is>
      </c>
      <c r="AX893" t="inlineStr">
        <is>
          <t>38386709</t>
        </is>
      </c>
      <c r="AY893" t="inlineStr">
        <is>
          <t>991000320939702656</t>
        </is>
      </c>
      <c r="AZ893" t="inlineStr">
        <is>
          <t>991000320939702656</t>
        </is>
      </c>
      <c r="BA893" t="inlineStr">
        <is>
          <t>2260095150002656</t>
        </is>
      </c>
      <c r="BB893" t="inlineStr">
        <is>
          <t>BOOK</t>
        </is>
      </c>
      <c r="BD893" t="inlineStr">
        <is>
          <t>9780721671758</t>
        </is>
      </c>
      <c r="BE893" t="inlineStr">
        <is>
          <t>30001004442507</t>
        </is>
      </c>
      <c r="BF893" t="inlineStr">
        <is>
          <t>893456557</t>
        </is>
      </c>
    </row>
    <row r="894">
      <c r="A894" t="inlineStr">
        <is>
          <t>No</t>
        </is>
      </c>
      <c r="B894" t="inlineStr">
        <is>
          <t>CUHSL</t>
        </is>
      </c>
      <c r="C894" t="inlineStr">
        <is>
          <t>SHELVES</t>
        </is>
      </c>
      <c r="D894" t="inlineStr">
        <is>
          <t>W 84.7 W187ca 1997</t>
        </is>
      </c>
      <c r="E894" t="inlineStr">
        <is>
          <t>0                      W  0084700W  187ca       1997</t>
        </is>
      </c>
      <c r="F894" t="inlineStr">
        <is>
          <t>Critical pathway implementation guide : a methodology for managing critical pathways / Deborah K. Wall, Mitchell M. Proyect.</t>
        </is>
      </c>
      <c r="H894" t="inlineStr">
        <is>
          <t>No</t>
        </is>
      </c>
      <c r="I894" t="inlineStr">
        <is>
          <t>1</t>
        </is>
      </c>
      <c r="J894" t="inlineStr">
        <is>
          <t>No</t>
        </is>
      </c>
      <c r="K894" t="inlineStr">
        <is>
          <t>No</t>
        </is>
      </c>
      <c r="L894" t="inlineStr">
        <is>
          <t>0</t>
        </is>
      </c>
      <c r="M894" t="inlineStr">
        <is>
          <t>Wall, Deborah K.</t>
        </is>
      </c>
      <c r="N894" t="inlineStr">
        <is>
          <t>Chicago : Precept Press, c1997.</t>
        </is>
      </c>
      <c r="O894" t="inlineStr">
        <is>
          <t>1997</t>
        </is>
      </c>
      <c r="Q894" t="inlineStr">
        <is>
          <t>eng</t>
        </is>
      </c>
      <c r="R894" t="inlineStr">
        <is>
          <t>ilu</t>
        </is>
      </c>
      <c r="T894" t="inlineStr">
        <is>
          <t xml:space="preserve">W  </t>
        </is>
      </c>
      <c r="U894" t="n">
        <v>6</v>
      </c>
      <c r="V894" t="n">
        <v>6</v>
      </c>
      <c r="W894" t="inlineStr">
        <is>
          <t>2001-11-26</t>
        </is>
      </c>
      <c r="X894" t="inlineStr">
        <is>
          <t>2001-11-26</t>
        </is>
      </c>
      <c r="Y894" t="inlineStr">
        <is>
          <t>1998-12-18</t>
        </is>
      </c>
      <c r="Z894" t="inlineStr">
        <is>
          <t>1998-12-18</t>
        </is>
      </c>
      <c r="AA894" t="n">
        <v>32</v>
      </c>
      <c r="AB894" t="n">
        <v>27</v>
      </c>
      <c r="AC894" t="n">
        <v>28</v>
      </c>
      <c r="AD894" t="n">
        <v>1</v>
      </c>
      <c r="AE894" t="n">
        <v>1</v>
      </c>
      <c r="AF894" t="n">
        <v>0</v>
      </c>
      <c r="AG894" t="n">
        <v>0</v>
      </c>
      <c r="AH894" t="n">
        <v>0</v>
      </c>
      <c r="AI894" t="n">
        <v>0</v>
      </c>
      <c r="AJ894" t="n">
        <v>0</v>
      </c>
      <c r="AK894" t="n">
        <v>0</v>
      </c>
      <c r="AL894" t="n">
        <v>0</v>
      </c>
      <c r="AM894" t="n">
        <v>0</v>
      </c>
      <c r="AN894" t="n">
        <v>0</v>
      </c>
      <c r="AO894" t="n">
        <v>0</v>
      </c>
      <c r="AP894" t="n">
        <v>0</v>
      </c>
      <c r="AQ894" t="n">
        <v>0</v>
      </c>
      <c r="AR894" t="inlineStr">
        <is>
          <t>No</t>
        </is>
      </c>
      <c r="AS894" t="inlineStr">
        <is>
          <t>Yes</t>
        </is>
      </c>
      <c r="AT894">
        <f>HYPERLINK("http://catalog.hathitrust.org/Record/003263220","HathiTrust Record")</f>
        <v/>
      </c>
      <c r="AU894">
        <f>HYPERLINK("https://creighton-primo.hosted.exlibrisgroup.com/primo-explore/search?tab=default_tab&amp;search_scope=EVERYTHING&amp;vid=01CRU&amp;lang=en_US&amp;offset=0&amp;query=any,contains,991001566679702656","Catalog Record")</f>
        <v/>
      </c>
      <c r="AV894">
        <f>HYPERLINK("http://www.worldcat.org/oclc/37201370","WorldCat Record")</f>
        <v/>
      </c>
      <c r="AW894" t="inlineStr">
        <is>
          <t>659754:eng</t>
        </is>
      </c>
      <c r="AX894" t="inlineStr">
        <is>
          <t>37201370</t>
        </is>
      </c>
      <c r="AY894" t="inlineStr">
        <is>
          <t>991001566679702656</t>
        </is>
      </c>
      <c r="AZ894" t="inlineStr">
        <is>
          <t>991001566679702656</t>
        </is>
      </c>
      <c r="BA894" t="inlineStr">
        <is>
          <t>2260784020002656</t>
        </is>
      </c>
      <c r="BB894" t="inlineStr">
        <is>
          <t>BOOK</t>
        </is>
      </c>
      <c r="BD894" t="inlineStr">
        <is>
          <t>9780944496541</t>
        </is>
      </c>
      <c r="BE894" t="inlineStr">
        <is>
          <t>30001004037570</t>
        </is>
      </c>
      <c r="BF894" t="inlineStr">
        <is>
          <t>893743902</t>
        </is>
      </c>
    </row>
    <row r="895">
      <c r="A895" t="inlineStr">
        <is>
          <t>No</t>
        </is>
      </c>
      <c r="B895" t="inlineStr">
        <is>
          <t>CUHSL</t>
        </is>
      </c>
      <c r="C895" t="inlineStr">
        <is>
          <t>SHELVES</t>
        </is>
      </c>
      <c r="D895" t="inlineStr">
        <is>
          <t>W 84.8 D822i 1979</t>
        </is>
      </c>
      <c r="E895" t="inlineStr">
        <is>
          <t>0                      W  0084800D  822i        1979</t>
        </is>
      </c>
      <c r="F895" t="inlineStr">
        <is>
          <t>The interdisciplinary health care team : a handbook / Alex J. Ducanis and Anne K. Golin.</t>
        </is>
      </c>
      <c r="H895" t="inlineStr">
        <is>
          <t>No</t>
        </is>
      </c>
      <c r="I895" t="inlineStr">
        <is>
          <t>1</t>
        </is>
      </c>
      <c r="J895" t="inlineStr">
        <is>
          <t>No</t>
        </is>
      </c>
      <c r="K895" t="inlineStr">
        <is>
          <t>No</t>
        </is>
      </c>
      <c r="L895" t="inlineStr">
        <is>
          <t>0</t>
        </is>
      </c>
      <c r="M895" t="inlineStr">
        <is>
          <t>Ducanis, Alex J.</t>
        </is>
      </c>
      <c r="N895" t="inlineStr">
        <is>
          <t>Germantown, Md. : Aspen Systems Corp., 1979.</t>
        </is>
      </c>
      <c r="O895" t="inlineStr">
        <is>
          <t>1979</t>
        </is>
      </c>
      <c r="Q895" t="inlineStr">
        <is>
          <t>eng</t>
        </is>
      </c>
      <c r="R895" t="inlineStr">
        <is>
          <t>xxu</t>
        </is>
      </c>
      <c r="S895" t="inlineStr">
        <is>
          <t>Aspen publication</t>
        </is>
      </c>
      <c r="T895" t="inlineStr">
        <is>
          <t xml:space="preserve">W  </t>
        </is>
      </c>
      <c r="U895" t="n">
        <v>7</v>
      </c>
      <c r="V895" t="n">
        <v>7</v>
      </c>
      <c r="W895" t="inlineStr">
        <is>
          <t>2004-06-11</t>
        </is>
      </c>
      <c r="X895" t="inlineStr">
        <is>
          <t>2004-06-11</t>
        </is>
      </c>
      <c r="Y895" t="inlineStr">
        <is>
          <t>1987-12-22</t>
        </is>
      </c>
      <c r="Z895" t="inlineStr">
        <is>
          <t>1987-12-22</t>
        </is>
      </c>
      <c r="AA895" t="n">
        <v>301</v>
      </c>
      <c r="AB895" t="n">
        <v>262</v>
      </c>
      <c r="AC895" t="n">
        <v>270</v>
      </c>
      <c r="AD895" t="n">
        <v>2</v>
      </c>
      <c r="AE895" t="n">
        <v>2</v>
      </c>
      <c r="AF895" t="n">
        <v>11</v>
      </c>
      <c r="AG895" t="n">
        <v>11</v>
      </c>
      <c r="AH895" t="n">
        <v>3</v>
      </c>
      <c r="AI895" t="n">
        <v>3</v>
      </c>
      <c r="AJ895" t="n">
        <v>3</v>
      </c>
      <c r="AK895" t="n">
        <v>3</v>
      </c>
      <c r="AL895" t="n">
        <v>9</v>
      </c>
      <c r="AM895" t="n">
        <v>9</v>
      </c>
      <c r="AN895" t="n">
        <v>1</v>
      </c>
      <c r="AO895" t="n">
        <v>1</v>
      </c>
      <c r="AP895" t="n">
        <v>0</v>
      </c>
      <c r="AQ895" t="n">
        <v>0</v>
      </c>
      <c r="AR895" t="inlineStr">
        <is>
          <t>No</t>
        </is>
      </c>
      <c r="AS895" t="inlineStr">
        <is>
          <t>Yes</t>
        </is>
      </c>
      <c r="AT895">
        <f>HYPERLINK("http://catalog.hathitrust.org/Record/000690273","HathiTrust Record")</f>
        <v/>
      </c>
      <c r="AU895">
        <f>HYPERLINK("https://creighton-primo.hosted.exlibrisgroup.com/primo-explore/search?tab=default_tab&amp;search_scope=EVERYTHING&amp;vid=01CRU&amp;lang=en_US&amp;offset=0&amp;query=any,contains,991000659719702656","Catalog Record")</f>
        <v/>
      </c>
      <c r="AV895">
        <f>HYPERLINK("http://www.worldcat.org/oclc/5411346","WorldCat Record")</f>
        <v/>
      </c>
      <c r="AW895" t="inlineStr">
        <is>
          <t>425823747:eng</t>
        </is>
      </c>
      <c r="AX895" t="inlineStr">
        <is>
          <t>5411346</t>
        </is>
      </c>
      <c r="AY895" t="inlineStr">
        <is>
          <t>991000659719702656</t>
        </is>
      </c>
      <c r="AZ895" t="inlineStr">
        <is>
          <t>991000659719702656</t>
        </is>
      </c>
      <c r="BA895" t="inlineStr">
        <is>
          <t>2264238360002656</t>
        </is>
      </c>
      <c r="BB895" t="inlineStr">
        <is>
          <t>BOOK</t>
        </is>
      </c>
      <c r="BD895" t="inlineStr">
        <is>
          <t>9780894431678</t>
        </is>
      </c>
      <c r="BE895" t="inlineStr">
        <is>
          <t>30001000688459</t>
        </is>
      </c>
      <c r="BF895" t="inlineStr">
        <is>
          <t>893556781</t>
        </is>
      </c>
    </row>
    <row r="896">
      <c r="A896" t="inlineStr">
        <is>
          <t>No</t>
        </is>
      </c>
      <c r="B896" t="inlineStr">
        <is>
          <t>CUHSL</t>
        </is>
      </c>
      <c r="C896" t="inlineStr">
        <is>
          <t>SHELVES</t>
        </is>
      </c>
      <c r="D896" t="inlineStr">
        <is>
          <t>W84.8 I612 2003</t>
        </is>
      </c>
      <c r="E896" t="inlineStr">
        <is>
          <t>0                      W  0084800I  612         2003</t>
        </is>
      </c>
      <c r="F896" t="inlineStr">
        <is>
          <t>Interprofessional collaboration : from policy to practice in health and social care / edited by Audrey Leathard.</t>
        </is>
      </c>
      <c r="H896" t="inlineStr">
        <is>
          <t>No</t>
        </is>
      </c>
      <c r="I896" t="inlineStr">
        <is>
          <t>1</t>
        </is>
      </c>
      <c r="J896" t="inlineStr">
        <is>
          <t>No</t>
        </is>
      </c>
      <c r="K896" t="inlineStr">
        <is>
          <t>No</t>
        </is>
      </c>
      <c r="L896" t="inlineStr">
        <is>
          <t>0</t>
        </is>
      </c>
      <c r="N896" t="inlineStr">
        <is>
          <t>Hove ; New York : Brunner-Routledge, 2003.</t>
        </is>
      </c>
      <c r="O896" t="inlineStr">
        <is>
          <t>2003</t>
        </is>
      </c>
      <c r="Q896" t="inlineStr">
        <is>
          <t>eng</t>
        </is>
      </c>
      <c r="R896" t="inlineStr">
        <is>
          <t>enk</t>
        </is>
      </c>
      <c r="T896" t="inlineStr">
        <is>
          <t xml:space="preserve">W  </t>
        </is>
      </c>
      <c r="U896" t="n">
        <v>5</v>
      </c>
      <c r="V896" t="n">
        <v>5</v>
      </c>
      <c r="W896" t="inlineStr">
        <is>
          <t>2004-09-09</t>
        </is>
      </c>
      <c r="X896" t="inlineStr">
        <is>
          <t>2004-09-09</t>
        </is>
      </c>
      <c r="Y896" t="inlineStr">
        <is>
          <t>2004-03-08</t>
        </is>
      </c>
      <c r="Z896" t="inlineStr">
        <is>
          <t>2004-03-08</t>
        </is>
      </c>
      <c r="AA896" t="n">
        <v>179</v>
      </c>
      <c r="AB896" t="n">
        <v>69</v>
      </c>
      <c r="AC896" t="n">
        <v>113</v>
      </c>
      <c r="AD896" t="n">
        <v>1</v>
      </c>
      <c r="AE896" t="n">
        <v>1</v>
      </c>
      <c r="AF896" t="n">
        <v>2</v>
      </c>
      <c r="AG896" t="n">
        <v>2</v>
      </c>
      <c r="AH896" t="n">
        <v>0</v>
      </c>
      <c r="AI896" t="n">
        <v>0</v>
      </c>
      <c r="AJ896" t="n">
        <v>2</v>
      </c>
      <c r="AK896" t="n">
        <v>2</v>
      </c>
      <c r="AL896" t="n">
        <v>1</v>
      </c>
      <c r="AM896" t="n">
        <v>1</v>
      </c>
      <c r="AN896" t="n">
        <v>0</v>
      </c>
      <c r="AO896" t="n">
        <v>0</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HYPERLINK("https://creighton-primo.hosted.exlibrisgroup.com/primo-explore/search?tab=default_tab&amp;search_scope=EVERYTHING&amp;vid=01CRU&amp;lang=en_US&amp;offset=0&amp;query=any,contains,991000367469702656","Catalog Record")</f>
        <v/>
      </c>
      <c r="AV896">
        <f>HYPERLINK("http://www.worldcat.org/oclc/50561973","WorldCat Record")</f>
        <v/>
      </c>
      <c r="AW896" t="inlineStr">
        <is>
          <t>800879561:eng</t>
        </is>
      </c>
      <c r="AX896" t="inlineStr">
        <is>
          <t>50561973</t>
        </is>
      </c>
      <c r="AY896" t="inlineStr">
        <is>
          <t>991000367469702656</t>
        </is>
      </c>
      <c r="AZ896" t="inlineStr">
        <is>
          <t>991000367469702656</t>
        </is>
      </c>
      <c r="BA896" t="inlineStr">
        <is>
          <t>2271596260002656</t>
        </is>
      </c>
      <c r="BB896" t="inlineStr">
        <is>
          <t>BOOK</t>
        </is>
      </c>
      <c r="BD896" t="inlineStr">
        <is>
          <t>9781583911754</t>
        </is>
      </c>
      <c r="BE896" t="inlineStr">
        <is>
          <t>30001004509701</t>
        </is>
      </c>
      <c r="BF896" t="inlineStr">
        <is>
          <t>893537117</t>
        </is>
      </c>
    </row>
    <row r="897">
      <c r="A897" t="inlineStr">
        <is>
          <t>No</t>
        </is>
      </c>
      <c r="B897" t="inlineStr">
        <is>
          <t>CUHSL</t>
        </is>
      </c>
      <c r="C897" t="inlineStr">
        <is>
          <t>SHELVES</t>
        </is>
      </c>
      <c r="D897" t="inlineStr">
        <is>
          <t>W 85 A244 1984</t>
        </is>
      </c>
      <c r="E897" t="inlineStr">
        <is>
          <t>0                      W  0085000A  244         1984</t>
        </is>
      </c>
      <c r="F897" t="inlineStr">
        <is>
          <t>Advocacy in health care : the power of a silent constituency / edited by Joan H. Marks.</t>
        </is>
      </c>
      <c r="H897" t="inlineStr">
        <is>
          <t>No</t>
        </is>
      </c>
      <c r="I897" t="inlineStr">
        <is>
          <t>1</t>
        </is>
      </c>
      <c r="J897" t="inlineStr">
        <is>
          <t>No</t>
        </is>
      </c>
      <c r="K897" t="inlineStr">
        <is>
          <t>No</t>
        </is>
      </c>
      <c r="L897" t="inlineStr">
        <is>
          <t>0</t>
        </is>
      </c>
      <c r="N897" t="inlineStr">
        <is>
          <t>Clifton, N.J. : Humana Press, c1986.</t>
        </is>
      </c>
      <c r="O897" t="inlineStr">
        <is>
          <t>1986</t>
        </is>
      </c>
      <c r="Q897" t="inlineStr">
        <is>
          <t>eng</t>
        </is>
      </c>
      <c r="R897" t="inlineStr">
        <is>
          <t>xxu</t>
        </is>
      </c>
      <c r="S897" t="inlineStr">
        <is>
          <t>Contemporary issues in biomedicine, ethics, and society</t>
        </is>
      </c>
      <c r="T897" t="inlineStr">
        <is>
          <t xml:space="preserve">W  </t>
        </is>
      </c>
      <c r="U897" t="n">
        <v>5</v>
      </c>
      <c r="V897" t="n">
        <v>5</v>
      </c>
      <c r="W897" t="inlineStr">
        <is>
          <t>1998-10-15</t>
        </is>
      </c>
      <c r="X897" t="inlineStr">
        <is>
          <t>1998-10-15</t>
        </is>
      </c>
      <c r="Y897" t="inlineStr">
        <is>
          <t>1987-12-22</t>
        </is>
      </c>
      <c r="Z897" t="inlineStr">
        <is>
          <t>1987-12-22</t>
        </is>
      </c>
      <c r="AA897" t="n">
        <v>119</v>
      </c>
      <c r="AB897" t="n">
        <v>91</v>
      </c>
      <c r="AC897" t="n">
        <v>117</v>
      </c>
      <c r="AD897" t="n">
        <v>1</v>
      </c>
      <c r="AE897" t="n">
        <v>1</v>
      </c>
      <c r="AF897" t="n">
        <v>4</v>
      </c>
      <c r="AG897" t="n">
        <v>5</v>
      </c>
      <c r="AH897" t="n">
        <v>0</v>
      </c>
      <c r="AI897" t="n">
        <v>1</v>
      </c>
      <c r="AJ897" t="n">
        <v>1</v>
      </c>
      <c r="AK897" t="n">
        <v>1</v>
      </c>
      <c r="AL897" t="n">
        <v>3</v>
      </c>
      <c r="AM897" t="n">
        <v>4</v>
      </c>
      <c r="AN897" t="n">
        <v>0</v>
      </c>
      <c r="AO897" t="n">
        <v>0</v>
      </c>
      <c r="AP897" t="n">
        <v>1</v>
      </c>
      <c r="AQ897" t="n">
        <v>1</v>
      </c>
      <c r="AR897" t="inlineStr">
        <is>
          <t>No</t>
        </is>
      </c>
      <c r="AS897" t="inlineStr">
        <is>
          <t>No</t>
        </is>
      </c>
      <c r="AU897">
        <f>HYPERLINK("https://creighton-primo.hosted.exlibrisgroup.com/primo-explore/search?tab=default_tab&amp;search_scope=EVERYTHING&amp;vid=01CRU&amp;lang=en_US&amp;offset=0&amp;query=any,contains,991000659789702656","Catalog Record")</f>
        <v/>
      </c>
      <c r="AV897">
        <f>HYPERLINK("http://www.worldcat.org/oclc/13122478","WorldCat Record")</f>
        <v/>
      </c>
      <c r="AW897" t="inlineStr">
        <is>
          <t>1007568826:eng</t>
        </is>
      </c>
      <c r="AX897" t="inlineStr">
        <is>
          <t>13122478</t>
        </is>
      </c>
      <c r="AY897" t="inlineStr">
        <is>
          <t>991000659789702656</t>
        </is>
      </c>
      <c r="AZ897" t="inlineStr">
        <is>
          <t>991000659789702656</t>
        </is>
      </c>
      <c r="BA897" t="inlineStr">
        <is>
          <t>2263805770002656</t>
        </is>
      </c>
      <c r="BB897" t="inlineStr">
        <is>
          <t>BOOK</t>
        </is>
      </c>
      <c r="BD897" t="inlineStr">
        <is>
          <t>9780896030923</t>
        </is>
      </c>
      <c r="BE897" t="inlineStr">
        <is>
          <t>30001000688475</t>
        </is>
      </c>
      <c r="BF897" t="inlineStr">
        <is>
          <t>893272725</t>
        </is>
      </c>
    </row>
    <row r="898">
      <c r="A898" t="inlineStr">
        <is>
          <t>No</t>
        </is>
      </c>
      <c r="B898" t="inlineStr">
        <is>
          <t>CUHSL</t>
        </is>
      </c>
      <c r="C898" t="inlineStr">
        <is>
          <t>SHELVES</t>
        </is>
      </c>
      <c r="D898" t="inlineStr">
        <is>
          <t>W85 B162C 2000</t>
        </is>
      </c>
      <c r="E898" t="inlineStr">
        <is>
          <t>0                      W  0085000B  162C        2000</t>
        </is>
      </c>
      <c r="F898" t="inlineStr">
        <is>
          <t>Customer service in health care : a grassroots approach to creating a culture of service excellence / by Kristin Baird.</t>
        </is>
      </c>
      <c r="H898" t="inlineStr">
        <is>
          <t>No</t>
        </is>
      </c>
      <c r="I898" t="inlineStr">
        <is>
          <t>1</t>
        </is>
      </c>
      <c r="J898" t="inlineStr">
        <is>
          <t>No</t>
        </is>
      </c>
      <c r="K898" t="inlineStr">
        <is>
          <t>No</t>
        </is>
      </c>
      <c r="L898" t="inlineStr">
        <is>
          <t>0</t>
        </is>
      </c>
      <c r="M898" t="inlineStr">
        <is>
          <t>Baird, Kristin.</t>
        </is>
      </c>
      <c r="N898" t="inlineStr">
        <is>
          <t>San Francisco : Jossey-Bass ; Chicago : Health Forum, c2000.</t>
        </is>
      </c>
      <c r="O898" t="inlineStr">
        <is>
          <t>2000</t>
        </is>
      </c>
      <c r="Q898" t="inlineStr">
        <is>
          <t>eng</t>
        </is>
      </c>
      <c r="R898" t="inlineStr">
        <is>
          <t>cau</t>
        </is>
      </c>
      <c r="T898" t="inlineStr">
        <is>
          <t xml:space="preserve">W  </t>
        </is>
      </c>
      <c r="U898" t="n">
        <v>2</v>
      </c>
      <c r="V898" t="n">
        <v>2</v>
      </c>
      <c r="W898" t="inlineStr">
        <is>
          <t>2010-09-30</t>
        </is>
      </c>
      <c r="X898" t="inlineStr">
        <is>
          <t>2010-09-30</t>
        </is>
      </c>
      <c r="Y898" t="inlineStr">
        <is>
          <t>2001-05-17</t>
        </is>
      </c>
      <c r="Z898" t="inlineStr">
        <is>
          <t>2001-05-17</t>
        </is>
      </c>
      <c r="AA898" t="n">
        <v>251</v>
      </c>
      <c r="AB898" t="n">
        <v>219</v>
      </c>
      <c r="AC898" t="n">
        <v>595</v>
      </c>
      <c r="AD898" t="n">
        <v>1</v>
      </c>
      <c r="AE898" t="n">
        <v>5</v>
      </c>
      <c r="AF898" t="n">
        <v>10</v>
      </c>
      <c r="AG898" t="n">
        <v>27</v>
      </c>
      <c r="AH898" t="n">
        <v>3</v>
      </c>
      <c r="AI898" t="n">
        <v>10</v>
      </c>
      <c r="AJ898" t="n">
        <v>3</v>
      </c>
      <c r="AK898" t="n">
        <v>8</v>
      </c>
      <c r="AL898" t="n">
        <v>8</v>
      </c>
      <c r="AM898" t="n">
        <v>10</v>
      </c>
      <c r="AN898" t="n">
        <v>0</v>
      </c>
      <c r="AO898" t="n">
        <v>4</v>
      </c>
      <c r="AP898" t="n">
        <v>0</v>
      </c>
      <c r="AQ898" t="n">
        <v>1</v>
      </c>
      <c r="AR898" t="inlineStr">
        <is>
          <t>No</t>
        </is>
      </c>
      <c r="AS898" t="inlineStr">
        <is>
          <t>Yes</t>
        </is>
      </c>
      <c r="AT898">
        <f>HYPERLINK("http://catalog.hathitrust.org/Record/004041723","HathiTrust Record")</f>
        <v/>
      </c>
      <c r="AU898">
        <f>HYPERLINK("https://creighton-primo.hosted.exlibrisgroup.com/primo-explore/search?tab=default_tab&amp;search_scope=EVERYTHING&amp;vid=01CRU&amp;lang=en_US&amp;offset=0&amp;query=any,contains,991001705799702656","Catalog Record")</f>
        <v/>
      </c>
      <c r="AV898">
        <f>HYPERLINK("http://www.worldcat.org/oclc/41712200","WorldCat Record")</f>
        <v/>
      </c>
      <c r="AW898" t="inlineStr">
        <is>
          <t>20653113:eng</t>
        </is>
      </c>
      <c r="AX898" t="inlineStr">
        <is>
          <t>41712200</t>
        </is>
      </c>
      <c r="AY898" t="inlineStr">
        <is>
          <t>991001705799702656</t>
        </is>
      </c>
      <c r="AZ898" t="inlineStr">
        <is>
          <t>991001705799702656</t>
        </is>
      </c>
      <c r="BA898" t="inlineStr">
        <is>
          <t>2262969910002656</t>
        </is>
      </c>
      <c r="BB898" t="inlineStr">
        <is>
          <t>BOOK</t>
        </is>
      </c>
      <c r="BD898" t="inlineStr">
        <is>
          <t>9781556482694</t>
        </is>
      </c>
      <c r="BE898" t="inlineStr">
        <is>
          <t>30001004840023</t>
        </is>
      </c>
      <c r="BF898" t="inlineStr">
        <is>
          <t>893358753</t>
        </is>
      </c>
    </row>
    <row r="899">
      <c r="A899" t="inlineStr">
        <is>
          <t>No</t>
        </is>
      </c>
      <c r="B899" t="inlineStr">
        <is>
          <t>CUHSL</t>
        </is>
      </c>
      <c r="C899" t="inlineStr">
        <is>
          <t>SHELVES</t>
        </is>
      </c>
      <c r="D899" t="inlineStr">
        <is>
          <t>W 85 B499p 1990</t>
        </is>
      </c>
      <c r="E899" t="inlineStr">
        <is>
          <t>0                      W  0085000B  499p        1990</t>
        </is>
      </c>
      <c r="F899" t="inlineStr">
        <is>
          <t>Purchasing power in health : business, the state and health care politics / Linda A. Bergthold.</t>
        </is>
      </c>
      <c r="H899" t="inlineStr">
        <is>
          <t>No</t>
        </is>
      </c>
      <c r="I899" t="inlineStr">
        <is>
          <t>1</t>
        </is>
      </c>
      <c r="J899" t="inlineStr">
        <is>
          <t>Yes</t>
        </is>
      </c>
      <c r="K899" t="inlineStr">
        <is>
          <t>No</t>
        </is>
      </c>
      <c r="L899" t="inlineStr">
        <is>
          <t>0</t>
        </is>
      </c>
      <c r="M899" t="inlineStr">
        <is>
          <t>Bergthold, Linda, 1941-</t>
        </is>
      </c>
      <c r="N899" t="inlineStr">
        <is>
          <t>New Brunswick N.J. ; London : Rutgers University Press, c1990.</t>
        </is>
      </c>
      <c r="O899" t="inlineStr">
        <is>
          <t>1990</t>
        </is>
      </c>
      <c r="Q899" t="inlineStr">
        <is>
          <t>eng</t>
        </is>
      </c>
      <c r="R899" t="inlineStr">
        <is>
          <t>enk</t>
        </is>
      </c>
      <c r="T899" t="inlineStr">
        <is>
          <t xml:space="preserve">W  </t>
        </is>
      </c>
      <c r="U899" t="n">
        <v>6</v>
      </c>
      <c r="V899" t="n">
        <v>6</v>
      </c>
      <c r="W899" t="inlineStr">
        <is>
          <t>1994-02-23</t>
        </is>
      </c>
      <c r="X899" t="inlineStr">
        <is>
          <t>1994-02-23</t>
        </is>
      </c>
      <c r="Y899" t="inlineStr">
        <is>
          <t>1990-07-11</t>
        </is>
      </c>
      <c r="Z899" t="inlineStr">
        <is>
          <t>1990-07-11</t>
        </is>
      </c>
      <c r="AA899" t="n">
        <v>257</v>
      </c>
      <c r="AB899" t="n">
        <v>222</v>
      </c>
      <c r="AC899" t="n">
        <v>222</v>
      </c>
      <c r="AD899" t="n">
        <v>2</v>
      </c>
      <c r="AE899" t="n">
        <v>2</v>
      </c>
      <c r="AF899" t="n">
        <v>8</v>
      </c>
      <c r="AG899" t="n">
        <v>8</v>
      </c>
      <c r="AH899" t="n">
        <v>3</v>
      </c>
      <c r="AI899" t="n">
        <v>3</v>
      </c>
      <c r="AJ899" t="n">
        <v>2</v>
      </c>
      <c r="AK899" t="n">
        <v>2</v>
      </c>
      <c r="AL899" t="n">
        <v>4</v>
      </c>
      <c r="AM899" t="n">
        <v>4</v>
      </c>
      <c r="AN899" t="n">
        <v>0</v>
      </c>
      <c r="AO899" t="n">
        <v>0</v>
      </c>
      <c r="AP899" t="n">
        <v>2</v>
      </c>
      <c r="AQ899" t="n">
        <v>2</v>
      </c>
      <c r="AR899" t="inlineStr">
        <is>
          <t>No</t>
        </is>
      </c>
      <c r="AS899" t="inlineStr">
        <is>
          <t>No</t>
        </is>
      </c>
      <c r="AU899">
        <f>HYPERLINK("https://creighton-primo.hosted.exlibrisgroup.com/primo-explore/search?tab=default_tab&amp;search_scope=EVERYTHING&amp;vid=01CRU&amp;lang=en_US&amp;offset=0&amp;query=any,contains,991001450559702656","Catalog Record")</f>
        <v/>
      </c>
      <c r="AV899">
        <f>HYPERLINK("http://www.worldcat.org/oclc/20133794","WorldCat Record")</f>
        <v/>
      </c>
      <c r="AW899" t="inlineStr">
        <is>
          <t>199065174:eng</t>
        </is>
      </c>
      <c r="AX899" t="inlineStr">
        <is>
          <t>20133794</t>
        </is>
      </c>
      <c r="AY899" t="inlineStr">
        <is>
          <t>991001450559702656</t>
        </is>
      </c>
      <c r="AZ899" t="inlineStr">
        <is>
          <t>991001450559702656</t>
        </is>
      </c>
      <c r="BA899" t="inlineStr">
        <is>
          <t>2267432640002656</t>
        </is>
      </c>
      <c r="BB899" t="inlineStr">
        <is>
          <t>BOOK</t>
        </is>
      </c>
      <c r="BD899" t="inlineStr">
        <is>
          <t>9780813514871</t>
        </is>
      </c>
      <c r="BE899" t="inlineStr">
        <is>
          <t>30001001882796</t>
        </is>
      </c>
      <c r="BF899" t="inlineStr">
        <is>
          <t>893727614</t>
        </is>
      </c>
    </row>
    <row r="900">
      <c r="A900" t="inlineStr">
        <is>
          <t>No</t>
        </is>
      </c>
      <c r="B900" t="inlineStr">
        <is>
          <t>CUHSL</t>
        </is>
      </c>
      <c r="C900" t="inlineStr">
        <is>
          <t>SHELVES</t>
        </is>
      </c>
      <c r="D900" t="inlineStr">
        <is>
          <t>W 85 C7375 1986</t>
        </is>
      </c>
      <c r="E900" t="inlineStr">
        <is>
          <t>0                      W  0085000C  7375        1986</t>
        </is>
      </c>
      <c r="F900" t="inlineStr">
        <is>
          <t>Compliance : the dilemma of the chronically ill / Kenneth E. Gerber, Alexis M. Nehemkis, editors.</t>
        </is>
      </c>
      <c r="H900" t="inlineStr">
        <is>
          <t>No</t>
        </is>
      </c>
      <c r="I900" t="inlineStr">
        <is>
          <t>1</t>
        </is>
      </c>
      <c r="J900" t="inlineStr">
        <is>
          <t>No</t>
        </is>
      </c>
      <c r="K900" t="inlineStr">
        <is>
          <t>No</t>
        </is>
      </c>
      <c r="L900" t="inlineStr">
        <is>
          <t>0</t>
        </is>
      </c>
      <c r="N900" t="inlineStr">
        <is>
          <t>New York : Springer Pub. Co., c1986.</t>
        </is>
      </c>
      <c r="O900" t="inlineStr">
        <is>
          <t>1986</t>
        </is>
      </c>
      <c r="Q900" t="inlineStr">
        <is>
          <t>eng</t>
        </is>
      </c>
      <c r="R900" t="inlineStr">
        <is>
          <t>xxu</t>
        </is>
      </c>
      <c r="T900" t="inlineStr">
        <is>
          <t xml:space="preserve">W  </t>
        </is>
      </c>
      <c r="U900" t="n">
        <v>18</v>
      </c>
      <c r="V900" t="n">
        <v>18</v>
      </c>
      <c r="W900" t="inlineStr">
        <is>
          <t>1997-10-12</t>
        </is>
      </c>
      <c r="X900" t="inlineStr">
        <is>
          <t>1997-10-12</t>
        </is>
      </c>
      <c r="Y900" t="inlineStr">
        <is>
          <t>1987-12-22</t>
        </is>
      </c>
      <c r="Z900" t="inlineStr">
        <is>
          <t>1987-12-22</t>
        </is>
      </c>
      <c r="AA900" t="n">
        <v>412</v>
      </c>
      <c r="AB900" t="n">
        <v>344</v>
      </c>
      <c r="AC900" t="n">
        <v>351</v>
      </c>
      <c r="AD900" t="n">
        <v>4</v>
      </c>
      <c r="AE900" t="n">
        <v>4</v>
      </c>
      <c r="AF900" t="n">
        <v>16</v>
      </c>
      <c r="AG900" t="n">
        <v>16</v>
      </c>
      <c r="AH900" t="n">
        <v>4</v>
      </c>
      <c r="AI900" t="n">
        <v>4</v>
      </c>
      <c r="AJ900" t="n">
        <v>3</v>
      </c>
      <c r="AK900" t="n">
        <v>3</v>
      </c>
      <c r="AL900" t="n">
        <v>10</v>
      </c>
      <c r="AM900" t="n">
        <v>10</v>
      </c>
      <c r="AN900" t="n">
        <v>3</v>
      </c>
      <c r="AO900" t="n">
        <v>3</v>
      </c>
      <c r="AP900" t="n">
        <v>0</v>
      </c>
      <c r="AQ900" t="n">
        <v>0</v>
      </c>
      <c r="AR900" t="inlineStr">
        <is>
          <t>No</t>
        </is>
      </c>
      <c r="AS900" t="inlineStr">
        <is>
          <t>Yes</t>
        </is>
      </c>
      <c r="AT900">
        <f>HYPERLINK("http://catalog.hathitrust.org/Record/004416016","HathiTrust Record")</f>
        <v/>
      </c>
      <c r="AU900">
        <f>HYPERLINK("https://creighton-primo.hosted.exlibrisgroup.com/primo-explore/search?tab=default_tab&amp;search_scope=EVERYTHING&amp;vid=01CRU&amp;lang=en_US&amp;offset=0&amp;query=any,contains,991000659819702656","Catalog Record")</f>
        <v/>
      </c>
      <c r="AV900">
        <f>HYPERLINK("http://www.worldcat.org/oclc/12804660","WorldCat Record")</f>
        <v/>
      </c>
      <c r="AW900" t="inlineStr">
        <is>
          <t>890050844:eng</t>
        </is>
      </c>
      <c r="AX900" t="inlineStr">
        <is>
          <t>12804660</t>
        </is>
      </c>
      <c r="AY900" t="inlineStr">
        <is>
          <t>991000659819702656</t>
        </is>
      </c>
      <c r="AZ900" t="inlineStr">
        <is>
          <t>991000659819702656</t>
        </is>
      </c>
      <c r="BA900" t="inlineStr">
        <is>
          <t>2266549690002656</t>
        </is>
      </c>
      <c r="BB900" t="inlineStr">
        <is>
          <t>BOOK</t>
        </is>
      </c>
      <c r="BD900" t="inlineStr">
        <is>
          <t>9780826145802</t>
        </is>
      </c>
      <c r="BE900" t="inlineStr">
        <is>
          <t>30001000688483</t>
        </is>
      </c>
      <c r="BF900" t="inlineStr">
        <is>
          <t>893631768</t>
        </is>
      </c>
    </row>
    <row r="901">
      <c r="A901" t="inlineStr">
        <is>
          <t>No</t>
        </is>
      </c>
      <c r="B901" t="inlineStr">
        <is>
          <t>CUHSL</t>
        </is>
      </c>
      <c r="C901" t="inlineStr">
        <is>
          <t>SHELVES</t>
        </is>
      </c>
      <c r="D901" t="inlineStr">
        <is>
          <t>W 85 C755 1978</t>
        </is>
      </c>
      <c r="E901" t="inlineStr">
        <is>
          <t>0                      W  0085000C  755         1978</t>
        </is>
      </c>
      <c r="F901" t="inlineStr">
        <is>
          <t>Consumerism and health care.</t>
        </is>
      </c>
      <c r="H901" t="inlineStr">
        <is>
          <t>No</t>
        </is>
      </c>
      <c r="I901" t="inlineStr">
        <is>
          <t>1</t>
        </is>
      </c>
      <c r="J901" t="inlineStr">
        <is>
          <t>No</t>
        </is>
      </c>
      <c r="K901" t="inlineStr">
        <is>
          <t>No</t>
        </is>
      </c>
      <c r="L901" t="inlineStr">
        <is>
          <t>0</t>
        </is>
      </c>
      <c r="N901" t="inlineStr">
        <is>
          <t>New York : National League for Nursing, c1978.</t>
        </is>
      </c>
      <c r="O901" t="inlineStr">
        <is>
          <t>1978</t>
        </is>
      </c>
      <c r="Q901" t="inlineStr">
        <is>
          <t>eng</t>
        </is>
      </c>
      <c r="R901" t="inlineStr">
        <is>
          <t>nyu</t>
        </is>
      </c>
      <c r="S901" t="inlineStr">
        <is>
          <t>NLN pub. no. 52-1727</t>
        </is>
      </c>
      <c r="T901" t="inlineStr">
        <is>
          <t xml:space="preserve">W  </t>
        </is>
      </c>
      <c r="U901" t="n">
        <v>5</v>
      </c>
      <c r="V901" t="n">
        <v>5</v>
      </c>
      <c r="W901" t="inlineStr">
        <is>
          <t>2006-04-01</t>
        </is>
      </c>
      <c r="X901" t="inlineStr">
        <is>
          <t>2006-04-01</t>
        </is>
      </c>
      <c r="Y901" t="inlineStr">
        <is>
          <t>1987-11-18</t>
        </is>
      </c>
      <c r="Z901" t="inlineStr">
        <is>
          <t>1987-11-18</t>
        </is>
      </c>
      <c r="AA901" t="n">
        <v>111</v>
      </c>
      <c r="AB901" t="n">
        <v>99</v>
      </c>
      <c r="AC901" t="n">
        <v>101</v>
      </c>
      <c r="AD901" t="n">
        <v>2</v>
      </c>
      <c r="AE901" t="n">
        <v>2</v>
      </c>
      <c r="AF901" t="n">
        <v>5</v>
      </c>
      <c r="AG901" t="n">
        <v>5</v>
      </c>
      <c r="AH901" t="n">
        <v>1</v>
      </c>
      <c r="AI901" t="n">
        <v>1</v>
      </c>
      <c r="AJ901" t="n">
        <v>2</v>
      </c>
      <c r="AK901" t="n">
        <v>2</v>
      </c>
      <c r="AL901" t="n">
        <v>3</v>
      </c>
      <c r="AM901" t="n">
        <v>3</v>
      </c>
      <c r="AN901" t="n">
        <v>0</v>
      </c>
      <c r="AO901" t="n">
        <v>0</v>
      </c>
      <c r="AP901" t="n">
        <v>0</v>
      </c>
      <c r="AQ901" t="n">
        <v>0</v>
      </c>
      <c r="AR901" t="inlineStr">
        <is>
          <t>No</t>
        </is>
      </c>
      <c r="AS901" t="inlineStr">
        <is>
          <t>Yes</t>
        </is>
      </c>
      <c r="AT901">
        <f>HYPERLINK("http://catalog.hathitrust.org/Record/000178655","HathiTrust Record")</f>
        <v/>
      </c>
      <c r="AU901">
        <f>HYPERLINK("https://creighton-primo.hosted.exlibrisgroup.com/primo-explore/search?tab=default_tab&amp;search_scope=EVERYTHING&amp;vid=01CRU&amp;lang=en_US&amp;offset=0&amp;query=any,contains,991001517069702656","Catalog Record")</f>
        <v/>
      </c>
      <c r="AV901">
        <f>HYPERLINK("http://www.worldcat.org/oclc/4570470","WorldCat Record")</f>
        <v/>
      </c>
      <c r="AW901" t="inlineStr">
        <is>
          <t>13914204:eng</t>
        </is>
      </c>
      <c r="AX901" t="inlineStr">
        <is>
          <t>4570470</t>
        </is>
      </c>
      <c r="AY901" t="inlineStr">
        <is>
          <t>991001517069702656</t>
        </is>
      </c>
      <c r="AZ901" t="inlineStr">
        <is>
          <t>991001517069702656</t>
        </is>
      </c>
      <c r="BA901" t="inlineStr">
        <is>
          <t>2268286440002656</t>
        </is>
      </c>
      <c r="BB901" t="inlineStr">
        <is>
          <t>BOOK</t>
        </is>
      </c>
      <c r="BE901" t="inlineStr">
        <is>
          <t>30001000600108</t>
        </is>
      </c>
      <c r="BF901" t="inlineStr">
        <is>
          <t>893826833</t>
        </is>
      </c>
    </row>
    <row r="902">
      <c r="A902" t="inlineStr">
        <is>
          <t>No</t>
        </is>
      </c>
      <c r="B902" t="inlineStr">
        <is>
          <t>CUHSL</t>
        </is>
      </c>
      <c r="C902" t="inlineStr">
        <is>
          <t>SHELVES</t>
        </is>
      </c>
      <c r="D902" t="inlineStr">
        <is>
          <t>W 85 D631t 1985</t>
        </is>
      </c>
      <c r="E902" t="inlineStr">
        <is>
          <t>0                      W  0085000D  631t        1985</t>
        </is>
      </c>
      <c r="F902" t="inlineStr">
        <is>
          <t>Teaching patients with low literacy skills / Cecilia Conrath Doak, Leonard G. Doak, Jane H. Root.</t>
        </is>
      </c>
      <c r="H902" t="inlineStr">
        <is>
          <t>No</t>
        </is>
      </c>
      <c r="I902" t="inlineStr">
        <is>
          <t>1</t>
        </is>
      </c>
      <c r="J902" t="inlineStr">
        <is>
          <t>No</t>
        </is>
      </c>
      <c r="K902" t="inlineStr">
        <is>
          <t>No</t>
        </is>
      </c>
      <c r="L902" t="inlineStr">
        <is>
          <t>0</t>
        </is>
      </c>
      <c r="M902" t="inlineStr">
        <is>
          <t>Doak, Cecilia Conrath.</t>
        </is>
      </c>
      <c r="N902" t="inlineStr">
        <is>
          <t>Philadelphia : Lippincott, c1985.</t>
        </is>
      </c>
      <c r="O902" t="inlineStr">
        <is>
          <t>1985</t>
        </is>
      </c>
      <c r="Q902" t="inlineStr">
        <is>
          <t>eng</t>
        </is>
      </c>
      <c r="R902" t="inlineStr">
        <is>
          <t>xxu</t>
        </is>
      </c>
      <c r="T902" t="inlineStr">
        <is>
          <t xml:space="preserve">W  </t>
        </is>
      </c>
      <c r="U902" t="n">
        <v>11</v>
      </c>
      <c r="V902" t="n">
        <v>11</v>
      </c>
      <c r="W902" t="inlineStr">
        <is>
          <t>2005-09-26</t>
        </is>
      </c>
      <c r="X902" t="inlineStr">
        <is>
          <t>2005-09-26</t>
        </is>
      </c>
      <c r="Y902" t="inlineStr">
        <is>
          <t>1987-12-22</t>
        </is>
      </c>
      <c r="Z902" t="inlineStr">
        <is>
          <t>1987-12-22</t>
        </is>
      </c>
      <c r="AA902" t="n">
        <v>331</v>
      </c>
      <c r="AB902" t="n">
        <v>264</v>
      </c>
      <c r="AC902" t="n">
        <v>693</v>
      </c>
      <c r="AD902" t="n">
        <v>3</v>
      </c>
      <c r="AE902" t="n">
        <v>3</v>
      </c>
      <c r="AF902" t="n">
        <v>9</v>
      </c>
      <c r="AG902" t="n">
        <v>26</v>
      </c>
      <c r="AH902" t="n">
        <v>4</v>
      </c>
      <c r="AI902" t="n">
        <v>12</v>
      </c>
      <c r="AJ902" t="n">
        <v>3</v>
      </c>
      <c r="AK902" t="n">
        <v>5</v>
      </c>
      <c r="AL902" t="n">
        <v>2</v>
      </c>
      <c r="AM902" t="n">
        <v>15</v>
      </c>
      <c r="AN902" t="n">
        <v>1</v>
      </c>
      <c r="AO902" t="n">
        <v>1</v>
      </c>
      <c r="AP902" t="n">
        <v>0</v>
      </c>
      <c r="AQ902" t="n">
        <v>0</v>
      </c>
      <c r="AR902" t="inlineStr">
        <is>
          <t>No</t>
        </is>
      </c>
      <c r="AS902" t="inlineStr">
        <is>
          <t>Yes</t>
        </is>
      </c>
      <c r="AT902">
        <f>HYPERLINK("http://catalog.hathitrust.org/Record/000347033","HathiTrust Record")</f>
        <v/>
      </c>
      <c r="AU902">
        <f>HYPERLINK("https://creighton-primo.hosted.exlibrisgroup.com/primo-explore/search?tab=default_tab&amp;search_scope=EVERYTHING&amp;vid=01CRU&amp;lang=en_US&amp;offset=0&amp;query=any,contains,991000659859702656","Catalog Record")</f>
        <v/>
      </c>
      <c r="AV902">
        <f>HYPERLINK("http://www.worldcat.org/oclc/10948355","WorldCat Record")</f>
        <v/>
      </c>
      <c r="AW902" t="inlineStr">
        <is>
          <t>3716899:eng</t>
        </is>
      </c>
      <c r="AX902" t="inlineStr">
        <is>
          <t>10948355</t>
        </is>
      </c>
      <c r="AY902" t="inlineStr">
        <is>
          <t>991000659859702656</t>
        </is>
      </c>
      <c r="AZ902" t="inlineStr">
        <is>
          <t>991000659859702656</t>
        </is>
      </c>
      <c r="BA902" t="inlineStr">
        <is>
          <t>2255099070002656</t>
        </is>
      </c>
      <c r="BB902" t="inlineStr">
        <is>
          <t>BOOK</t>
        </is>
      </c>
      <c r="BD902" t="inlineStr">
        <is>
          <t>9780397544981</t>
        </is>
      </c>
      <c r="BE902" t="inlineStr">
        <is>
          <t>30001000688491</t>
        </is>
      </c>
      <c r="BF902" t="inlineStr">
        <is>
          <t>893357271</t>
        </is>
      </c>
    </row>
    <row r="903">
      <c r="A903" t="inlineStr">
        <is>
          <t>No</t>
        </is>
      </c>
      <c r="B903" t="inlineStr">
        <is>
          <t>CUHSL</t>
        </is>
      </c>
      <c r="C903" t="inlineStr">
        <is>
          <t>SHELVES</t>
        </is>
      </c>
      <c r="D903" t="inlineStr">
        <is>
          <t>W 85 H145h 1989</t>
        </is>
      </c>
      <c r="E903" t="inlineStr">
        <is>
          <t>0                      W  0085000H  145h        1989</t>
        </is>
      </c>
      <c r="F903" t="inlineStr">
        <is>
          <t>Handbook of patient education / Ann Haggard.</t>
        </is>
      </c>
      <c r="H903" t="inlineStr">
        <is>
          <t>No</t>
        </is>
      </c>
      <c r="I903" t="inlineStr">
        <is>
          <t>1</t>
        </is>
      </c>
      <c r="J903" t="inlineStr">
        <is>
          <t>No</t>
        </is>
      </c>
      <c r="K903" t="inlineStr">
        <is>
          <t>No</t>
        </is>
      </c>
      <c r="L903" t="inlineStr">
        <is>
          <t>0</t>
        </is>
      </c>
      <c r="M903" t="inlineStr">
        <is>
          <t>Haggard, Ann.</t>
        </is>
      </c>
      <c r="N903" t="inlineStr">
        <is>
          <t>Rockville, Md. : Aspen Publishers, c1989.</t>
        </is>
      </c>
      <c r="O903" t="inlineStr">
        <is>
          <t>1989</t>
        </is>
      </c>
      <c r="Q903" t="inlineStr">
        <is>
          <t>eng</t>
        </is>
      </c>
      <c r="R903" t="inlineStr">
        <is>
          <t>xxu</t>
        </is>
      </c>
      <c r="T903" t="inlineStr">
        <is>
          <t xml:space="preserve">W  </t>
        </is>
      </c>
      <c r="U903" t="n">
        <v>13</v>
      </c>
      <c r="V903" t="n">
        <v>13</v>
      </c>
      <c r="W903" t="inlineStr">
        <is>
          <t>2005-07-13</t>
        </is>
      </c>
      <c r="X903" t="inlineStr">
        <is>
          <t>2005-07-13</t>
        </is>
      </c>
      <c r="Y903" t="inlineStr">
        <is>
          <t>1990-06-15</t>
        </is>
      </c>
      <c r="Z903" t="inlineStr">
        <is>
          <t>1990-06-15</t>
        </is>
      </c>
      <c r="AA903" t="n">
        <v>312</v>
      </c>
      <c r="AB903" t="n">
        <v>277</v>
      </c>
      <c r="AC903" t="n">
        <v>284</v>
      </c>
      <c r="AD903" t="n">
        <v>1</v>
      </c>
      <c r="AE903" t="n">
        <v>1</v>
      </c>
      <c r="AF903" t="n">
        <v>9</v>
      </c>
      <c r="AG903" t="n">
        <v>9</v>
      </c>
      <c r="AH903" t="n">
        <v>3</v>
      </c>
      <c r="AI903" t="n">
        <v>3</v>
      </c>
      <c r="AJ903" t="n">
        <v>2</v>
      </c>
      <c r="AK903" t="n">
        <v>2</v>
      </c>
      <c r="AL903" t="n">
        <v>8</v>
      </c>
      <c r="AM903" t="n">
        <v>8</v>
      </c>
      <c r="AN903" t="n">
        <v>0</v>
      </c>
      <c r="AO903" t="n">
        <v>0</v>
      </c>
      <c r="AP903" t="n">
        <v>0</v>
      </c>
      <c r="AQ903" t="n">
        <v>0</v>
      </c>
      <c r="AR903" t="inlineStr">
        <is>
          <t>No</t>
        </is>
      </c>
      <c r="AS903" t="inlineStr">
        <is>
          <t>Yes</t>
        </is>
      </c>
      <c r="AT903">
        <f>HYPERLINK("http://catalog.hathitrust.org/Record/001549910","HathiTrust Record")</f>
        <v/>
      </c>
      <c r="AU903">
        <f>HYPERLINK("https://creighton-primo.hosted.exlibrisgroup.com/primo-explore/search?tab=default_tab&amp;search_scope=EVERYTHING&amp;vid=01CRU&amp;lang=en_US&amp;offset=0&amp;query=any,contains,991001449519702656","Catalog Record")</f>
        <v/>
      </c>
      <c r="AV903">
        <f>HYPERLINK("http://www.worldcat.org/oclc/18714969","WorldCat Record")</f>
        <v/>
      </c>
      <c r="AW903" t="inlineStr">
        <is>
          <t>18333664:eng</t>
        </is>
      </c>
      <c r="AX903" t="inlineStr">
        <is>
          <t>18714969</t>
        </is>
      </c>
      <c r="AY903" t="inlineStr">
        <is>
          <t>991001449519702656</t>
        </is>
      </c>
      <c r="AZ903" t="inlineStr">
        <is>
          <t>991001449519702656</t>
        </is>
      </c>
      <c r="BA903" t="inlineStr">
        <is>
          <t>2265069140002656</t>
        </is>
      </c>
      <c r="BB903" t="inlineStr">
        <is>
          <t>BOOK</t>
        </is>
      </c>
      <c r="BD903" t="inlineStr">
        <is>
          <t>9780834200418</t>
        </is>
      </c>
      <c r="BE903" t="inlineStr">
        <is>
          <t>30001001882382</t>
        </is>
      </c>
      <c r="BF903" t="inlineStr">
        <is>
          <t>893826763</t>
        </is>
      </c>
    </row>
    <row r="904">
      <c r="A904" t="inlineStr">
        <is>
          <t>No</t>
        </is>
      </c>
      <c r="B904" t="inlineStr">
        <is>
          <t>CUHSL</t>
        </is>
      </c>
      <c r="C904" t="inlineStr">
        <is>
          <t>SHELVES</t>
        </is>
      </c>
      <c r="D904" t="inlineStr">
        <is>
          <t>W 85 H43415 1997</t>
        </is>
      </c>
      <c r="E904" t="inlineStr">
        <is>
          <t>0                      W  0085000H  43415       1997</t>
        </is>
      </c>
      <c r="F904" t="inlineStr">
        <is>
          <t>Health behavior and health education : theory, research, and practice / Karen Glanz, Frances Marcus Lewis, Barbara K. Rimer, editors ; foreword by J. Michael McGinnis.</t>
        </is>
      </c>
      <c r="H904" t="inlineStr">
        <is>
          <t>No</t>
        </is>
      </c>
      <c r="I904" t="inlineStr">
        <is>
          <t>1</t>
        </is>
      </c>
      <c r="J904" t="inlineStr">
        <is>
          <t>No</t>
        </is>
      </c>
      <c r="K904" t="inlineStr">
        <is>
          <t>Yes</t>
        </is>
      </c>
      <c r="L904" t="inlineStr">
        <is>
          <t>1</t>
        </is>
      </c>
      <c r="N904" t="inlineStr">
        <is>
          <t>San Francisco : Jossey-Bass, c1997.</t>
        </is>
      </c>
      <c r="O904" t="inlineStr">
        <is>
          <t>1997</t>
        </is>
      </c>
      <c r="P904" t="inlineStr">
        <is>
          <t>2nd ed.</t>
        </is>
      </c>
      <c r="Q904" t="inlineStr">
        <is>
          <t>eng</t>
        </is>
      </c>
      <c r="R904" t="inlineStr">
        <is>
          <t>cau</t>
        </is>
      </c>
      <c r="S904" t="inlineStr">
        <is>
          <t>Jossey-Bass health series</t>
        </is>
      </c>
      <c r="T904" t="inlineStr">
        <is>
          <t xml:space="preserve">W  </t>
        </is>
      </c>
      <c r="U904" t="n">
        <v>9</v>
      </c>
      <c r="V904" t="n">
        <v>9</v>
      </c>
      <c r="W904" t="inlineStr">
        <is>
          <t>2005-03-23</t>
        </is>
      </c>
      <c r="X904" t="inlineStr">
        <is>
          <t>2005-03-23</t>
        </is>
      </c>
      <c r="Y904" t="inlineStr">
        <is>
          <t>1998-01-16</t>
        </is>
      </c>
      <c r="Z904" t="inlineStr">
        <is>
          <t>1998-01-16</t>
        </is>
      </c>
      <c r="AA904" t="n">
        <v>326</v>
      </c>
      <c r="AB904" t="n">
        <v>246</v>
      </c>
      <c r="AC904" t="n">
        <v>821</v>
      </c>
      <c r="AD904" t="n">
        <v>2</v>
      </c>
      <c r="AE904" t="n">
        <v>6</v>
      </c>
      <c r="AF904" t="n">
        <v>7</v>
      </c>
      <c r="AG904" t="n">
        <v>34</v>
      </c>
      <c r="AH904" t="n">
        <v>2</v>
      </c>
      <c r="AI904" t="n">
        <v>9</v>
      </c>
      <c r="AJ904" t="n">
        <v>1</v>
      </c>
      <c r="AK904" t="n">
        <v>9</v>
      </c>
      <c r="AL904" t="n">
        <v>4</v>
      </c>
      <c r="AM904" t="n">
        <v>17</v>
      </c>
      <c r="AN904" t="n">
        <v>1</v>
      </c>
      <c r="AO904" t="n">
        <v>4</v>
      </c>
      <c r="AP904" t="n">
        <v>0</v>
      </c>
      <c r="AQ904" t="n">
        <v>2</v>
      </c>
      <c r="AR904" t="inlineStr">
        <is>
          <t>No</t>
        </is>
      </c>
      <c r="AS904" t="inlineStr">
        <is>
          <t>Yes</t>
        </is>
      </c>
      <c r="AT904">
        <f>HYPERLINK("http://catalog.hathitrust.org/Record/004560762","HathiTrust Record")</f>
        <v/>
      </c>
      <c r="AU904">
        <f>HYPERLINK("https://creighton-primo.hosted.exlibrisgroup.com/primo-explore/search?tab=default_tab&amp;search_scope=EVERYTHING&amp;vid=01CRU&amp;lang=en_US&amp;offset=0&amp;query=any,contains,991001564109702656","Catalog Record")</f>
        <v/>
      </c>
      <c r="AV904">
        <f>HYPERLINK("http://www.worldcat.org/oclc/34974564","WorldCat Record")</f>
        <v/>
      </c>
      <c r="AW904" t="inlineStr">
        <is>
          <t>1044568331:eng</t>
        </is>
      </c>
      <c r="AX904" t="inlineStr">
        <is>
          <t>34974564</t>
        </is>
      </c>
      <c r="AY904" t="inlineStr">
        <is>
          <t>991001564109702656</t>
        </is>
      </c>
      <c r="AZ904" t="inlineStr">
        <is>
          <t>991001564109702656</t>
        </is>
      </c>
      <c r="BA904" t="inlineStr">
        <is>
          <t>2264513730002656</t>
        </is>
      </c>
      <c r="BB904" t="inlineStr">
        <is>
          <t>BOOK</t>
        </is>
      </c>
      <c r="BD904" t="inlineStr">
        <is>
          <t>9780787903107</t>
        </is>
      </c>
      <c r="BE904" t="inlineStr">
        <is>
          <t>30001003669365</t>
        </is>
      </c>
      <c r="BF904" t="inlineStr">
        <is>
          <t>893369480</t>
        </is>
      </c>
    </row>
    <row r="905">
      <c r="A905" t="inlineStr">
        <is>
          <t>No</t>
        </is>
      </c>
      <c r="B905" t="inlineStr">
        <is>
          <t>CUHSL</t>
        </is>
      </c>
      <c r="C905" t="inlineStr">
        <is>
          <t>SHELVES</t>
        </is>
      </c>
      <c r="D905" t="inlineStr">
        <is>
          <t>W 85 H847 1989</t>
        </is>
      </c>
      <c r="E905" t="inlineStr">
        <is>
          <t>0                      W  0085000H  847         1989</t>
        </is>
      </c>
      <c r="F905" t="inlineStr">
        <is>
          <t>How to teach patients.</t>
        </is>
      </c>
      <c r="H905" t="inlineStr">
        <is>
          <t>No</t>
        </is>
      </c>
      <c r="I905" t="inlineStr">
        <is>
          <t>1</t>
        </is>
      </c>
      <c r="J905" t="inlineStr">
        <is>
          <t>No</t>
        </is>
      </c>
      <c r="K905" t="inlineStr">
        <is>
          <t>No</t>
        </is>
      </c>
      <c r="L905" t="inlineStr">
        <is>
          <t>0</t>
        </is>
      </c>
      <c r="N905" t="inlineStr">
        <is>
          <t>Springhouse, Pa. : Springhouse Corp., c1989.</t>
        </is>
      </c>
      <c r="O905" t="inlineStr">
        <is>
          <t>1989</t>
        </is>
      </c>
      <c r="Q905" t="inlineStr">
        <is>
          <t>eng</t>
        </is>
      </c>
      <c r="R905" t="inlineStr">
        <is>
          <t>xxu</t>
        </is>
      </c>
      <c r="T905" t="inlineStr">
        <is>
          <t xml:space="preserve">W  </t>
        </is>
      </c>
      <c r="U905" t="n">
        <v>10</v>
      </c>
      <c r="V905" t="n">
        <v>10</v>
      </c>
      <c r="W905" t="inlineStr">
        <is>
          <t>2005-07-13</t>
        </is>
      </c>
      <c r="X905" t="inlineStr">
        <is>
          <t>2005-07-13</t>
        </is>
      </c>
      <c r="Y905" t="inlineStr">
        <is>
          <t>1989-07-07</t>
        </is>
      </c>
      <c r="Z905" t="inlineStr">
        <is>
          <t>1989-07-07</t>
        </is>
      </c>
      <c r="AA905" t="n">
        <v>107</v>
      </c>
      <c r="AB905" t="n">
        <v>71</v>
      </c>
      <c r="AC905" t="n">
        <v>71</v>
      </c>
      <c r="AD905" t="n">
        <v>2</v>
      </c>
      <c r="AE905" t="n">
        <v>2</v>
      </c>
      <c r="AF905" t="n">
        <v>5</v>
      </c>
      <c r="AG905" t="n">
        <v>5</v>
      </c>
      <c r="AH905" t="n">
        <v>2</v>
      </c>
      <c r="AI905" t="n">
        <v>2</v>
      </c>
      <c r="AJ905" t="n">
        <v>0</v>
      </c>
      <c r="AK905" t="n">
        <v>0</v>
      </c>
      <c r="AL905" t="n">
        <v>2</v>
      </c>
      <c r="AM905" t="n">
        <v>2</v>
      </c>
      <c r="AN905" t="n">
        <v>1</v>
      </c>
      <c r="AO905" t="n">
        <v>1</v>
      </c>
      <c r="AP905" t="n">
        <v>0</v>
      </c>
      <c r="AQ905" t="n">
        <v>0</v>
      </c>
      <c r="AR905" t="inlineStr">
        <is>
          <t>No</t>
        </is>
      </c>
      <c r="AS905" t="inlineStr">
        <is>
          <t>No</t>
        </is>
      </c>
      <c r="AU905">
        <f>HYPERLINK("https://creighton-primo.hosted.exlibrisgroup.com/primo-explore/search?tab=default_tab&amp;search_scope=EVERYTHING&amp;vid=01CRU&amp;lang=en_US&amp;offset=0&amp;query=any,contains,991001310879702656","Catalog Record")</f>
        <v/>
      </c>
      <c r="AV905">
        <f>HYPERLINK("http://www.worldcat.org/oclc/18715089","WorldCat Record")</f>
        <v/>
      </c>
      <c r="AW905" t="inlineStr">
        <is>
          <t>1780511481:eng</t>
        </is>
      </c>
      <c r="AX905" t="inlineStr">
        <is>
          <t>18715089</t>
        </is>
      </c>
      <c r="AY905" t="inlineStr">
        <is>
          <t>991001310879702656</t>
        </is>
      </c>
      <c r="AZ905" t="inlineStr">
        <is>
          <t>991001310879702656</t>
        </is>
      </c>
      <c r="BA905" t="inlineStr">
        <is>
          <t>2262268240002656</t>
        </is>
      </c>
      <c r="BB905" t="inlineStr">
        <is>
          <t>BOOK</t>
        </is>
      </c>
      <c r="BD905" t="inlineStr">
        <is>
          <t>9780874341706</t>
        </is>
      </c>
      <c r="BE905" t="inlineStr">
        <is>
          <t>30001001750811</t>
        </is>
      </c>
      <c r="BF905" t="inlineStr">
        <is>
          <t>893467905</t>
        </is>
      </c>
    </row>
    <row r="906">
      <c r="A906" t="inlineStr">
        <is>
          <t>No</t>
        </is>
      </c>
      <c r="B906" t="inlineStr">
        <is>
          <t>CUHSL</t>
        </is>
      </c>
      <c r="C906" t="inlineStr">
        <is>
          <t>SHELVES</t>
        </is>
      </c>
      <c r="D906" t="inlineStr">
        <is>
          <t>W 85 I29 1991</t>
        </is>
      </c>
      <c r="E906" t="inlineStr">
        <is>
          <t>0                      W  0085000I  29          1991</t>
        </is>
      </c>
      <c r="F906" t="inlineStr">
        <is>
          <t>The Illness experience : dimensions of suffering / edited by Janice M. Morse, Joy L. Johnson.</t>
        </is>
      </c>
      <c r="H906" t="inlineStr">
        <is>
          <t>No</t>
        </is>
      </c>
      <c r="I906" t="inlineStr">
        <is>
          <t>1</t>
        </is>
      </c>
      <c r="J906" t="inlineStr">
        <is>
          <t>No</t>
        </is>
      </c>
      <c r="K906" t="inlineStr">
        <is>
          <t>No</t>
        </is>
      </c>
      <c r="L906" t="inlineStr">
        <is>
          <t>0</t>
        </is>
      </c>
      <c r="N906" t="inlineStr">
        <is>
          <t>Newbury Park, Calif. : Sage Publications, c1991.</t>
        </is>
      </c>
      <c r="O906" t="inlineStr">
        <is>
          <t>1991</t>
        </is>
      </c>
      <c r="Q906" t="inlineStr">
        <is>
          <t>eng</t>
        </is>
      </c>
      <c r="R906" t="inlineStr">
        <is>
          <t>cau</t>
        </is>
      </c>
      <c r="T906" t="inlineStr">
        <is>
          <t xml:space="preserve">W  </t>
        </is>
      </c>
      <c r="U906" t="n">
        <v>15</v>
      </c>
      <c r="V906" t="n">
        <v>15</v>
      </c>
      <c r="W906" t="inlineStr">
        <is>
          <t>1999-10-05</t>
        </is>
      </c>
      <c r="X906" t="inlineStr">
        <is>
          <t>1999-10-05</t>
        </is>
      </c>
      <c r="Y906" t="inlineStr">
        <is>
          <t>1993-06-21</t>
        </is>
      </c>
      <c r="Z906" t="inlineStr">
        <is>
          <t>1993-06-21</t>
        </is>
      </c>
      <c r="AA906" t="n">
        <v>479</v>
      </c>
      <c r="AB906" t="n">
        <v>336</v>
      </c>
      <c r="AC906" t="n">
        <v>336</v>
      </c>
      <c r="AD906" t="n">
        <v>3</v>
      </c>
      <c r="AE906" t="n">
        <v>3</v>
      </c>
      <c r="AF906" t="n">
        <v>22</v>
      </c>
      <c r="AG906" t="n">
        <v>22</v>
      </c>
      <c r="AH906" t="n">
        <v>8</v>
      </c>
      <c r="AI906" t="n">
        <v>8</v>
      </c>
      <c r="AJ906" t="n">
        <v>6</v>
      </c>
      <c r="AK906" t="n">
        <v>6</v>
      </c>
      <c r="AL906" t="n">
        <v>13</v>
      </c>
      <c r="AM906" t="n">
        <v>13</v>
      </c>
      <c r="AN906" t="n">
        <v>2</v>
      </c>
      <c r="AO906" t="n">
        <v>2</v>
      </c>
      <c r="AP906" t="n">
        <v>0</v>
      </c>
      <c r="AQ906" t="n">
        <v>0</v>
      </c>
      <c r="AR906" t="inlineStr">
        <is>
          <t>No</t>
        </is>
      </c>
      <c r="AS906" t="inlineStr">
        <is>
          <t>No</t>
        </is>
      </c>
      <c r="AU906">
        <f>HYPERLINK("https://creighton-primo.hosted.exlibrisgroup.com/primo-explore/search?tab=default_tab&amp;search_scope=EVERYTHING&amp;vid=01CRU&amp;lang=en_US&amp;offset=0&amp;query=any,contains,991001481019702656","Catalog Record")</f>
        <v/>
      </c>
      <c r="AV906">
        <f>HYPERLINK("http://www.worldcat.org/oclc/22813088","WorldCat Record")</f>
        <v/>
      </c>
      <c r="AW906" t="inlineStr">
        <is>
          <t>836736700:eng</t>
        </is>
      </c>
      <c r="AX906" t="inlineStr">
        <is>
          <t>22813088</t>
        </is>
      </c>
      <c r="AY906" t="inlineStr">
        <is>
          <t>991001481019702656</t>
        </is>
      </c>
      <c r="AZ906" t="inlineStr">
        <is>
          <t>991001481019702656</t>
        </is>
      </c>
      <c r="BA906" t="inlineStr">
        <is>
          <t>2263660020002656</t>
        </is>
      </c>
      <c r="BB906" t="inlineStr">
        <is>
          <t>BOOK</t>
        </is>
      </c>
      <c r="BD906" t="inlineStr">
        <is>
          <t>9780803940536</t>
        </is>
      </c>
      <c r="BE906" t="inlineStr">
        <is>
          <t>30001002569467</t>
        </is>
      </c>
      <c r="BF906" t="inlineStr">
        <is>
          <t>893364177</t>
        </is>
      </c>
    </row>
    <row r="907">
      <c r="A907" t="inlineStr">
        <is>
          <t>No</t>
        </is>
      </c>
      <c r="B907" t="inlineStr">
        <is>
          <t>CUHSL</t>
        </is>
      </c>
      <c r="C907" t="inlineStr">
        <is>
          <t>SHELVES</t>
        </is>
      </c>
      <c r="D907" t="inlineStr">
        <is>
          <t>W 85 L872p 1996</t>
        </is>
      </c>
      <c r="E907" t="inlineStr">
        <is>
          <t>0                      W  0085000L  872p        1996</t>
        </is>
      </c>
      <c r="F907" t="inlineStr">
        <is>
          <t>Patient education : a practical approach / Kate Lorig.</t>
        </is>
      </c>
      <c r="H907" t="inlineStr">
        <is>
          <t>No</t>
        </is>
      </c>
      <c r="I907" t="inlineStr">
        <is>
          <t>1</t>
        </is>
      </c>
      <c r="J907" t="inlineStr">
        <is>
          <t>No</t>
        </is>
      </c>
      <c r="K907" t="inlineStr">
        <is>
          <t>No</t>
        </is>
      </c>
      <c r="L907" t="inlineStr">
        <is>
          <t>0</t>
        </is>
      </c>
      <c r="M907" t="inlineStr">
        <is>
          <t>Lorig, Kate.</t>
        </is>
      </c>
      <c r="N907" t="inlineStr">
        <is>
          <t>Thousand Oaks, CA : Sage Publications, c1996.</t>
        </is>
      </c>
      <c r="O907" t="inlineStr">
        <is>
          <t>1996</t>
        </is>
      </c>
      <c r="P907" t="inlineStr">
        <is>
          <t>2nd ed.</t>
        </is>
      </c>
      <c r="Q907" t="inlineStr">
        <is>
          <t>eng</t>
        </is>
      </c>
      <c r="R907" t="inlineStr">
        <is>
          <t>cau</t>
        </is>
      </c>
      <c r="T907" t="inlineStr">
        <is>
          <t xml:space="preserve">W  </t>
        </is>
      </c>
      <c r="U907" t="n">
        <v>4</v>
      </c>
      <c r="V907" t="n">
        <v>4</v>
      </c>
      <c r="W907" t="inlineStr">
        <is>
          <t>2005-07-22</t>
        </is>
      </c>
      <c r="X907" t="inlineStr">
        <is>
          <t>2005-07-22</t>
        </is>
      </c>
      <c r="Y907" t="inlineStr">
        <is>
          <t>1996-01-15</t>
        </is>
      </c>
      <c r="Z907" t="inlineStr">
        <is>
          <t>1996-01-15</t>
        </is>
      </c>
      <c r="AA907" t="n">
        <v>240</v>
      </c>
      <c r="AB907" t="n">
        <v>163</v>
      </c>
      <c r="AC907" t="n">
        <v>377</v>
      </c>
      <c r="AD907" t="n">
        <v>2</v>
      </c>
      <c r="AE907" t="n">
        <v>2</v>
      </c>
      <c r="AF907" t="n">
        <v>10</v>
      </c>
      <c r="AG907" t="n">
        <v>14</v>
      </c>
      <c r="AH907" t="n">
        <v>4</v>
      </c>
      <c r="AI907" t="n">
        <v>7</v>
      </c>
      <c r="AJ907" t="n">
        <v>3</v>
      </c>
      <c r="AK907" t="n">
        <v>3</v>
      </c>
      <c r="AL907" t="n">
        <v>7</v>
      </c>
      <c r="AM907" t="n">
        <v>8</v>
      </c>
      <c r="AN907" t="n">
        <v>1</v>
      </c>
      <c r="AO907" t="n">
        <v>1</v>
      </c>
      <c r="AP907" t="n">
        <v>0</v>
      </c>
      <c r="AQ907" t="n">
        <v>0</v>
      </c>
      <c r="AR907" t="inlineStr">
        <is>
          <t>No</t>
        </is>
      </c>
      <c r="AS907" t="inlineStr">
        <is>
          <t>Yes</t>
        </is>
      </c>
      <c r="AT907">
        <f>HYPERLINK("http://catalog.hathitrust.org/Record/003800179","HathiTrust Record")</f>
        <v/>
      </c>
      <c r="AU907">
        <f>HYPERLINK("https://creighton-primo.hosted.exlibrisgroup.com/primo-explore/search?tab=default_tab&amp;search_scope=EVERYTHING&amp;vid=01CRU&amp;lang=en_US&amp;offset=0&amp;query=any,contains,991001502169702656","Catalog Record")</f>
        <v/>
      </c>
      <c r="AV907">
        <f>HYPERLINK("http://www.worldcat.org/oclc/32922986","WorldCat Record")</f>
        <v/>
      </c>
      <c r="AW907" t="inlineStr">
        <is>
          <t>836974916:eng</t>
        </is>
      </c>
      <c r="AX907" t="inlineStr">
        <is>
          <t>32922986</t>
        </is>
      </c>
      <c r="AY907" t="inlineStr">
        <is>
          <t>991001502169702656</t>
        </is>
      </c>
      <c r="AZ907" t="inlineStr">
        <is>
          <t>991001502169702656</t>
        </is>
      </c>
      <c r="BA907" t="inlineStr">
        <is>
          <t>2264033730002656</t>
        </is>
      </c>
      <c r="BB907" t="inlineStr">
        <is>
          <t>BOOK</t>
        </is>
      </c>
      <c r="BD907" t="inlineStr">
        <is>
          <t>9780761900733</t>
        </is>
      </c>
      <c r="BE907" t="inlineStr">
        <is>
          <t>30001003262823</t>
        </is>
      </c>
      <c r="BF907" t="inlineStr">
        <is>
          <t>893121573</t>
        </is>
      </c>
    </row>
    <row r="908">
      <c r="A908" t="inlineStr">
        <is>
          <t>No</t>
        </is>
      </c>
      <c r="B908" t="inlineStr">
        <is>
          <t>CUHSL</t>
        </is>
      </c>
      <c r="C908" t="inlineStr">
        <is>
          <t>SHELVES</t>
        </is>
      </c>
      <c r="D908" t="inlineStr">
        <is>
          <t>W 85 M158e 1993</t>
        </is>
      </c>
      <c r="E908" t="inlineStr">
        <is>
          <t>0                      W  0085000M  158e        1993</t>
        </is>
      </c>
      <c r="F908" t="inlineStr">
        <is>
          <t>Enemies of patients / Ruth Macklin.</t>
        </is>
      </c>
      <c r="H908" t="inlineStr">
        <is>
          <t>No</t>
        </is>
      </c>
      <c r="I908" t="inlineStr">
        <is>
          <t>1</t>
        </is>
      </c>
      <c r="J908" t="inlineStr">
        <is>
          <t>No</t>
        </is>
      </c>
      <c r="K908" t="inlineStr">
        <is>
          <t>No</t>
        </is>
      </c>
      <c r="L908" t="inlineStr">
        <is>
          <t>0</t>
        </is>
      </c>
      <c r="M908" t="inlineStr">
        <is>
          <t>Macklin, Ruth, 1938-</t>
        </is>
      </c>
      <c r="N908" t="inlineStr">
        <is>
          <t>New York : Oxford University Press, c1993.</t>
        </is>
      </c>
      <c r="O908" t="inlineStr">
        <is>
          <t>1993</t>
        </is>
      </c>
      <c r="Q908" t="inlineStr">
        <is>
          <t>eng</t>
        </is>
      </c>
      <c r="R908" t="inlineStr">
        <is>
          <t>nyu</t>
        </is>
      </c>
      <c r="T908" t="inlineStr">
        <is>
          <t xml:space="preserve">W  </t>
        </is>
      </c>
      <c r="U908" t="n">
        <v>13</v>
      </c>
      <c r="V908" t="n">
        <v>13</v>
      </c>
      <c r="W908" t="inlineStr">
        <is>
          <t>1997-04-07</t>
        </is>
      </c>
      <c r="X908" t="inlineStr">
        <is>
          <t>1997-04-07</t>
        </is>
      </c>
      <c r="Y908" t="inlineStr">
        <is>
          <t>1993-07-13</t>
        </is>
      </c>
      <c r="Z908" t="inlineStr">
        <is>
          <t>1993-07-13</t>
        </is>
      </c>
      <c r="AA908" t="n">
        <v>566</v>
      </c>
      <c r="AB908" t="n">
        <v>496</v>
      </c>
      <c r="AC908" t="n">
        <v>505</v>
      </c>
      <c r="AD908" t="n">
        <v>4</v>
      </c>
      <c r="AE908" t="n">
        <v>4</v>
      </c>
      <c r="AF908" t="n">
        <v>25</v>
      </c>
      <c r="AG908" t="n">
        <v>25</v>
      </c>
      <c r="AH908" t="n">
        <v>8</v>
      </c>
      <c r="AI908" t="n">
        <v>8</v>
      </c>
      <c r="AJ908" t="n">
        <v>6</v>
      </c>
      <c r="AK908" t="n">
        <v>6</v>
      </c>
      <c r="AL908" t="n">
        <v>12</v>
      </c>
      <c r="AM908" t="n">
        <v>12</v>
      </c>
      <c r="AN908" t="n">
        <v>3</v>
      </c>
      <c r="AO908" t="n">
        <v>3</v>
      </c>
      <c r="AP908" t="n">
        <v>4</v>
      </c>
      <c r="AQ908" t="n">
        <v>4</v>
      </c>
      <c r="AR908" t="inlineStr">
        <is>
          <t>No</t>
        </is>
      </c>
      <c r="AS908" t="inlineStr">
        <is>
          <t>Yes</t>
        </is>
      </c>
      <c r="AT908">
        <f>HYPERLINK("http://catalog.hathitrust.org/Record/002737842","HathiTrust Record")</f>
        <v/>
      </c>
      <c r="AU908">
        <f>HYPERLINK("https://creighton-primo.hosted.exlibrisgroup.com/primo-explore/search?tab=default_tab&amp;search_scope=EVERYTHING&amp;vid=01CRU&amp;lang=en_US&amp;offset=0&amp;query=any,contains,991001480559702656","Catalog Record")</f>
        <v/>
      </c>
      <c r="AV908">
        <f>HYPERLINK("http://www.worldcat.org/oclc/25873736","WorldCat Record")</f>
        <v/>
      </c>
      <c r="AW908" t="inlineStr">
        <is>
          <t>28671300:eng</t>
        </is>
      </c>
      <c r="AX908" t="inlineStr">
        <is>
          <t>25873736</t>
        </is>
      </c>
      <c r="AY908" t="inlineStr">
        <is>
          <t>991001480559702656</t>
        </is>
      </c>
      <c r="AZ908" t="inlineStr">
        <is>
          <t>991001480559702656</t>
        </is>
      </c>
      <c r="BA908" t="inlineStr">
        <is>
          <t>2269586500002656</t>
        </is>
      </c>
      <c r="BB908" t="inlineStr">
        <is>
          <t>BOOK</t>
        </is>
      </c>
      <c r="BD908" t="inlineStr">
        <is>
          <t>9780195072006</t>
        </is>
      </c>
      <c r="BE908" t="inlineStr">
        <is>
          <t>30001002569046</t>
        </is>
      </c>
      <c r="BF908" t="inlineStr">
        <is>
          <t>893460630</t>
        </is>
      </c>
    </row>
    <row r="909">
      <c r="A909" t="inlineStr">
        <is>
          <t>No</t>
        </is>
      </c>
      <c r="B909" t="inlineStr">
        <is>
          <t>CUHSL</t>
        </is>
      </c>
      <c r="C909" t="inlineStr">
        <is>
          <t>SHELVES</t>
        </is>
      </c>
      <c r="D909" t="inlineStr">
        <is>
          <t>W 85 M365e 1981</t>
        </is>
      </c>
      <c r="E909" t="inlineStr">
        <is>
          <t>0                      W  0085000M  365e        1981</t>
        </is>
      </c>
      <c r="F909" t="inlineStr">
        <is>
          <t>The emerging rights of children in treatment for mental and catastrophic illnesses / Frank H. Marsh.</t>
        </is>
      </c>
      <c r="H909" t="inlineStr">
        <is>
          <t>No</t>
        </is>
      </c>
      <c r="I909" t="inlineStr">
        <is>
          <t>1</t>
        </is>
      </c>
      <c r="J909" t="inlineStr">
        <is>
          <t>No</t>
        </is>
      </c>
      <c r="K909" t="inlineStr">
        <is>
          <t>No</t>
        </is>
      </c>
      <c r="L909" t="inlineStr">
        <is>
          <t>0</t>
        </is>
      </c>
      <c r="M909" t="inlineStr">
        <is>
          <t>Marsh, Frank H.</t>
        </is>
      </c>
      <c r="N909" t="inlineStr">
        <is>
          <t>Washington, D.C. : University Press of America, c1981.</t>
        </is>
      </c>
      <c r="O909" t="inlineStr">
        <is>
          <t>1981</t>
        </is>
      </c>
      <c r="Q909" t="inlineStr">
        <is>
          <t>eng</t>
        </is>
      </c>
      <c r="R909" t="inlineStr">
        <is>
          <t>dcu</t>
        </is>
      </c>
      <c r="T909" t="inlineStr">
        <is>
          <t xml:space="preserve">W  </t>
        </is>
      </c>
      <c r="U909" t="n">
        <v>2</v>
      </c>
      <c r="V909" t="n">
        <v>2</v>
      </c>
      <c r="W909" t="inlineStr">
        <is>
          <t>1997-04-02</t>
        </is>
      </c>
      <c r="X909" t="inlineStr">
        <is>
          <t>1997-04-02</t>
        </is>
      </c>
      <c r="Y909" t="inlineStr">
        <is>
          <t>1987-12-22</t>
        </is>
      </c>
      <c r="Z909" t="inlineStr">
        <is>
          <t>1987-12-22</t>
        </is>
      </c>
      <c r="AA909" t="n">
        <v>82</v>
      </c>
      <c r="AB909" t="n">
        <v>79</v>
      </c>
      <c r="AC909" t="n">
        <v>117</v>
      </c>
      <c r="AD909" t="n">
        <v>2</v>
      </c>
      <c r="AE909" t="n">
        <v>2</v>
      </c>
      <c r="AF909" t="n">
        <v>4</v>
      </c>
      <c r="AG909" t="n">
        <v>5</v>
      </c>
      <c r="AH909" t="n">
        <v>1</v>
      </c>
      <c r="AI909" t="n">
        <v>1</v>
      </c>
      <c r="AJ909" t="n">
        <v>0</v>
      </c>
      <c r="AK909" t="n">
        <v>1</v>
      </c>
      <c r="AL909" t="n">
        <v>2</v>
      </c>
      <c r="AM909" t="n">
        <v>3</v>
      </c>
      <c r="AN909" t="n">
        <v>1</v>
      </c>
      <c r="AO909" t="n">
        <v>1</v>
      </c>
      <c r="AP909" t="n">
        <v>0</v>
      </c>
      <c r="AQ909" t="n">
        <v>0</v>
      </c>
      <c r="AR909" t="inlineStr">
        <is>
          <t>No</t>
        </is>
      </c>
      <c r="AS909" t="inlineStr">
        <is>
          <t>Yes</t>
        </is>
      </c>
      <c r="AT909">
        <f>HYPERLINK("http://catalog.hathitrust.org/Record/009493902","HathiTrust Record")</f>
        <v/>
      </c>
      <c r="AU909">
        <f>HYPERLINK("https://creighton-primo.hosted.exlibrisgroup.com/primo-explore/search?tab=default_tab&amp;search_scope=EVERYTHING&amp;vid=01CRU&amp;lang=en_US&amp;offset=0&amp;query=any,contains,991000659939702656","Catalog Record")</f>
        <v/>
      </c>
      <c r="AV909">
        <f>HYPERLINK("http://www.worldcat.org/oclc/6162813","WorldCat Record")</f>
        <v/>
      </c>
      <c r="AW909" t="inlineStr">
        <is>
          <t>21264212:eng</t>
        </is>
      </c>
      <c r="AX909" t="inlineStr">
        <is>
          <t>6162813</t>
        </is>
      </c>
      <c r="AY909" t="inlineStr">
        <is>
          <t>991000659939702656</t>
        </is>
      </c>
      <c r="AZ909" t="inlineStr">
        <is>
          <t>991000659939702656</t>
        </is>
      </c>
      <c r="BA909" t="inlineStr">
        <is>
          <t>2259355660002656</t>
        </is>
      </c>
      <c r="BB909" t="inlineStr">
        <is>
          <t>BOOK</t>
        </is>
      </c>
      <c r="BD909" t="inlineStr">
        <is>
          <t>9780819108302</t>
        </is>
      </c>
      <c r="BE909" t="inlineStr">
        <is>
          <t>30001000688517</t>
        </is>
      </c>
      <c r="BF909" t="inlineStr">
        <is>
          <t>893730868</t>
        </is>
      </c>
    </row>
    <row r="910">
      <c r="A910" t="inlineStr">
        <is>
          <t>No</t>
        </is>
      </c>
      <c r="B910" t="inlineStr">
        <is>
          <t>CUHSL</t>
        </is>
      </c>
      <c r="C910" t="inlineStr">
        <is>
          <t>SHELVES</t>
        </is>
      </c>
      <c r="D910" t="inlineStr">
        <is>
          <t>W 85 M499f 1987</t>
        </is>
      </c>
      <c r="E910" t="inlineStr">
        <is>
          <t>0                      W  0085000M  499f        1987</t>
        </is>
      </c>
      <c r="F910" t="inlineStr">
        <is>
          <t>Facilitating treatment adherence : a practitioner's guidebook / Donald Meichenbaum and Dennis C. Turk.</t>
        </is>
      </c>
      <c r="H910" t="inlineStr">
        <is>
          <t>No</t>
        </is>
      </c>
      <c r="I910" t="inlineStr">
        <is>
          <t>1</t>
        </is>
      </c>
      <c r="J910" t="inlineStr">
        <is>
          <t>Yes</t>
        </is>
      </c>
      <c r="K910" t="inlineStr">
        <is>
          <t>No</t>
        </is>
      </c>
      <c r="L910" t="inlineStr">
        <is>
          <t>0</t>
        </is>
      </c>
      <c r="M910" t="inlineStr">
        <is>
          <t>Meichenbaum, Donald.</t>
        </is>
      </c>
      <c r="N910" t="inlineStr">
        <is>
          <t>New York : Plenum Press, c1987.</t>
        </is>
      </c>
      <c r="O910" t="inlineStr">
        <is>
          <t>1987</t>
        </is>
      </c>
      <c r="Q910" t="inlineStr">
        <is>
          <t>eng</t>
        </is>
      </c>
      <c r="R910" t="inlineStr">
        <is>
          <t>xxu</t>
        </is>
      </c>
      <c r="T910" t="inlineStr">
        <is>
          <t xml:space="preserve">W  </t>
        </is>
      </c>
      <c r="U910" t="n">
        <v>35</v>
      </c>
      <c r="V910" t="n">
        <v>35</v>
      </c>
      <c r="W910" t="inlineStr">
        <is>
          <t>2000-04-15</t>
        </is>
      </c>
      <c r="X910" t="inlineStr">
        <is>
          <t>2000-04-15</t>
        </is>
      </c>
      <c r="Y910" t="inlineStr">
        <is>
          <t>1988-05-07</t>
        </is>
      </c>
      <c r="Z910" t="inlineStr">
        <is>
          <t>1988-05-07</t>
        </is>
      </c>
      <c r="AA910" t="n">
        <v>370</v>
      </c>
      <c r="AB910" t="n">
        <v>285</v>
      </c>
      <c r="AC910" t="n">
        <v>290</v>
      </c>
      <c r="AD910" t="n">
        <v>3</v>
      </c>
      <c r="AE910" t="n">
        <v>3</v>
      </c>
      <c r="AF910" t="n">
        <v>15</v>
      </c>
      <c r="AG910" t="n">
        <v>15</v>
      </c>
      <c r="AH910" t="n">
        <v>4</v>
      </c>
      <c r="AI910" t="n">
        <v>4</v>
      </c>
      <c r="AJ910" t="n">
        <v>4</v>
      </c>
      <c r="AK910" t="n">
        <v>4</v>
      </c>
      <c r="AL910" t="n">
        <v>11</v>
      </c>
      <c r="AM910" t="n">
        <v>11</v>
      </c>
      <c r="AN910" t="n">
        <v>1</v>
      </c>
      <c r="AO910" t="n">
        <v>1</v>
      </c>
      <c r="AP910" t="n">
        <v>0</v>
      </c>
      <c r="AQ910" t="n">
        <v>0</v>
      </c>
      <c r="AR910" t="inlineStr">
        <is>
          <t>No</t>
        </is>
      </c>
      <c r="AS910" t="inlineStr">
        <is>
          <t>Yes</t>
        </is>
      </c>
      <c r="AT910">
        <f>HYPERLINK("http://catalog.hathitrust.org/Record/000853311","HathiTrust Record")</f>
        <v/>
      </c>
      <c r="AU910">
        <f>HYPERLINK("https://creighton-primo.hosted.exlibrisgroup.com/primo-explore/search?tab=default_tab&amp;search_scope=EVERYTHING&amp;vid=01CRU&amp;lang=en_US&amp;offset=0&amp;query=any,contains,991001190059702656","Catalog Record")</f>
        <v/>
      </c>
      <c r="AV910">
        <f>HYPERLINK("http://www.worldcat.org/oclc/16091704","WorldCat Record")</f>
        <v/>
      </c>
      <c r="AW910" t="inlineStr">
        <is>
          <t>836639512:eng</t>
        </is>
      </c>
      <c r="AX910" t="inlineStr">
        <is>
          <t>16091704</t>
        </is>
      </c>
      <c r="AY910" t="inlineStr">
        <is>
          <t>991001190059702656</t>
        </is>
      </c>
      <c r="AZ910" t="inlineStr">
        <is>
          <t>991001190059702656</t>
        </is>
      </c>
      <c r="BA910" t="inlineStr">
        <is>
          <t>2261753920002656</t>
        </is>
      </c>
      <c r="BB910" t="inlineStr">
        <is>
          <t>BOOK</t>
        </is>
      </c>
      <c r="BD910" t="inlineStr">
        <is>
          <t>9780306426384</t>
        </is>
      </c>
      <c r="BE910" t="inlineStr">
        <is>
          <t>30001000979114</t>
        </is>
      </c>
      <c r="BF910" t="inlineStr">
        <is>
          <t>893465259</t>
        </is>
      </c>
    </row>
    <row r="911">
      <c r="A911" t="inlineStr">
        <is>
          <t>No</t>
        </is>
      </c>
      <c r="B911" t="inlineStr">
        <is>
          <t>CUHSL</t>
        </is>
      </c>
      <c r="C911" t="inlineStr">
        <is>
          <t>SHELVES</t>
        </is>
      </c>
      <c r="D911" t="inlineStr">
        <is>
          <t>W 85 N397i 1987</t>
        </is>
      </c>
      <c r="E911" t="inlineStr">
        <is>
          <t>0                      W  0085000N  397i        1987</t>
        </is>
      </c>
      <c r="F911" t="inlineStr">
        <is>
          <t>The inner consultation : how to develop an effective and intuitive consulting style / Roger Neighbour ; with cartoons by Patrick Reade.</t>
        </is>
      </c>
      <c r="H911" t="inlineStr">
        <is>
          <t>No</t>
        </is>
      </c>
      <c r="I911" t="inlineStr">
        <is>
          <t>1</t>
        </is>
      </c>
      <c r="J911" t="inlineStr">
        <is>
          <t>No</t>
        </is>
      </c>
      <c r="K911" t="inlineStr">
        <is>
          <t>No</t>
        </is>
      </c>
      <c r="L911" t="inlineStr">
        <is>
          <t>0</t>
        </is>
      </c>
      <c r="M911" t="inlineStr">
        <is>
          <t>Neighbour, Roger, 1947-</t>
        </is>
      </c>
      <c r="N911" t="inlineStr">
        <is>
          <t>Lancaster [Lancashire] ; Boston : MTP Press, c1987.</t>
        </is>
      </c>
      <c r="O911" t="inlineStr">
        <is>
          <t>1987</t>
        </is>
      </c>
      <c r="Q911" t="inlineStr">
        <is>
          <t>eng</t>
        </is>
      </c>
      <c r="R911" t="inlineStr">
        <is>
          <t>enk</t>
        </is>
      </c>
      <c r="T911" t="inlineStr">
        <is>
          <t xml:space="preserve">W  </t>
        </is>
      </c>
      <c r="U911" t="n">
        <v>7</v>
      </c>
      <c r="V911" t="n">
        <v>7</v>
      </c>
      <c r="W911" t="inlineStr">
        <is>
          <t>1994-11-16</t>
        </is>
      </c>
      <c r="X911" t="inlineStr">
        <is>
          <t>1994-11-16</t>
        </is>
      </c>
      <c r="Y911" t="inlineStr">
        <is>
          <t>1988-06-04</t>
        </is>
      </c>
      <c r="Z911" t="inlineStr">
        <is>
          <t>1988-06-04</t>
        </is>
      </c>
      <c r="AA911" t="n">
        <v>80</v>
      </c>
      <c r="AB911" t="n">
        <v>39</v>
      </c>
      <c r="AC911" t="n">
        <v>74</v>
      </c>
      <c r="AD911" t="n">
        <v>1</v>
      </c>
      <c r="AE911" t="n">
        <v>1</v>
      </c>
      <c r="AF911" t="n">
        <v>1</v>
      </c>
      <c r="AG911" t="n">
        <v>1</v>
      </c>
      <c r="AH911" t="n">
        <v>0</v>
      </c>
      <c r="AI911" t="n">
        <v>0</v>
      </c>
      <c r="AJ911" t="n">
        <v>1</v>
      </c>
      <c r="AK911" t="n">
        <v>1</v>
      </c>
      <c r="AL911" t="n">
        <v>1</v>
      </c>
      <c r="AM911" t="n">
        <v>1</v>
      </c>
      <c r="AN911" t="n">
        <v>0</v>
      </c>
      <c r="AO911" t="n">
        <v>0</v>
      </c>
      <c r="AP911" t="n">
        <v>0</v>
      </c>
      <c r="AQ911" t="n">
        <v>0</v>
      </c>
      <c r="AR911" t="inlineStr">
        <is>
          <t>No</t>
        </is>
      </c>
      <c r="AS911" t="inlineStr">
        <is>
          <t>Yes</t>
        </is>
      </c>
      <c r="AT911">
        <f>HYPERLINK("http://catalog.hathitrust.org/Record/000874980","HathiTrust Record")</f>
        <v/>
      </c>
      <c r="AU911">
        <f>HYPERLINK("https://creighton-primo.hosted.exlibrisgroup.com/primo-explore/search?tab=default_tab&amp;search_scope=EVERYTHING&amp;vid=01CRU&amp;lang=en_US&amp;offset=0&amp;query=any,contains,991001193889702656","Catalog Record")</f>
        <v/>
      </c>
      <c r="AV911">
        <f>HYPERLINK("http://www.worldcat.org/oclc/16646495","WorldCat Record")</f>
        <v/>
      </c>
      <c r="AW911" t="inlineStr">
        <is>
          <t>954344:eng</t>
        </is>
      </c>
      <c r="AX911" t="inlineStr">
        <is>
          <t>16646495</t>
        </is>
      </c>
      <c r="AY911" t="inlineStr">
        <is>
          <t>991001193889702656</t>
        </is>
      </c>
      <c r="AZ911" t="inlineStr">
        <is>
          <t>991001193889702656</t>
        </is>
      </c>
      <c r="BA911" t="inlineStr">
        <is>
          <t>2262939650002656</t>
        </is>
      </c>
      <c r="BB911" t="inlineStr">
        <is>
          <t>BOOK</t>
        </is>
      </c>
      <c r="BD911" t="inlineStr">
        <is>
          <t>9780746200407</t>
        </is>
      </c>
      <c r="BE911" t="inlineStr">
        <is>
          <t>30001000979916</t>
        </is>
      </c>
      <c r="BF911" t="inlineStr">
        <is>
          <t>893541104</t>
        </is>
      </c>
    </row>
    <row r="912">
      <c r="A912" t="inlineStr">
        <is>
          <t>No</t>
        </is>
      </c>
      <c r="B912" t="inlineStr">
        <is>
          <t>CUHSL</t>
        </is>
      </c>
      <c r="C912" t="inlineStr">
        <is>
          <t>SHELVES</t>
        </is>
      </c>
      <c r="D912" t="inlineStr">
        <is>
          <t>W 85 P2975 1991</t>
        </is>
      </c>
      <c r="E912" t="inlineStr">
        <is>
          <t>0                      W  0085000P  2975        1991</t>
        </is>
      </c>
      <c r="F912" t="inlineStr">
        <is>
          <t>Patient compliance in medical practice and clinical trials / editors, Joyce A. Cramer, Bert Spilker.</t>
        </is>
      </c>
      <c r="H912" t="inlineStr">
        <is>
          <t>No</t>
        </is>
      </c>
      <c r="I912" t="inlineStr">
        <is>
          <t>1</t>
        </is>
      </c>
      <c r="J912" t="inlineStr">
        <is>
          <t>No</t>
        </is>
      </c>
      <c r="K912" t="inlineStr">
        <is>
          <t>No</t>
        </is>
      </c>
      <c r="L912" t="inlineStr">
        <is>
          <t>0</t>
        </is>
      </c>
      <c r="N912" t="inlineStr">
        <is>
          <t>New York : Raven Press, c1991.</t>
        </is>
      </c>
      <c r="O912" t="inlineStr">
        <is>
          <t>1991</t>
        </is>
      </c>
      <c r="Q912" t="inlineStr">
        <is>
          <t>eng</t>
        </is>
      </c>
      <c r="R912" t="inlineStr">
        <is>
          <t>xxu</t>
        </is>
      </c>
      <c r="T912" t="inlineStr">
        <is>
          <t xml:space="preserve">W  </t>
        </is>
      </c>
      <c r="U912" t="n">
        <v>24</v>
      </c>
      <c r="V912" t="n">
        <v>24</v>
      </c>
      <c r="W912" t="inlineStr">
        <is>
          <t>2000-04-15</t>
        </is>
      </c>
      <c r="X912" t="inlineStr">
        <is>
          <t>2000-04-15</t>
        </is>
      </c>
      <c r="Y912" t="inlineStr">
        <is>
          <t>1991-10-30</t>
        </is>
      </c>
      <c r="Z912" t="inlineStr">
        <is>
          <t>1991-10-30</t>
        </is>
      </c>
      <c r="AA912" t="n">
        <v>185</v>
      </c>
      <c r="AB912" t="n">
        <v>128</v>
      </c>
      <c r="AC912" t="n">
        <v>135</v>
      </c>
      <c r="AD912" t="n">
        <v>1</v>
      </c>
      <c r="AE912" t="n">
        <v>1</v>
      </c>
      <c r="AF912" t="n">
        <v>4</v>
      </c>
      <c r="AG912" t="n">
        <v>4</v>
      </c>
      <c r="AH912" t="n">
        <v>2</v>
      </c>
      <c r="AI912" t="n">
        <v>2</v>
      </c>
      <c r="AJ912" t="n">
        <v>0</v>
      </c>
      <c r="AK912" t="n">
        <v>0</v>
      </c>
      <c r="AL912" t="n">
        <v>2</v>
      </c>
      <c r="AM912" t="n">
        <v>2</v>
      </c>
      <c r="AN912" t="n">
        <v>0</v>
      </c>
      <c r="AO912" t="n">
        <v>0</v>
      </c>
      <c r="AP912" t="n">
        <v>0</v>
      </c>
      <c r="AQ912" t="n">
        <v>0</v>
      </c>
      <c r="AR912" t="inlineStr">
        <is>
          <t>No</t>
        </is>
      </c>
      <c r="AS912" t="inlineStr">
        <is>
          <t>Yes</t>
        </is>
      </c>
      <c r="AT912">
        <f>HYPERLINK("http://catalog.hathitrust.org/Record/002435560","HathiTrust Record")</f>
        <v/>
      </c>
      <c r="AU912">
        <f>HYPERLINK("https://creighton-primo.hosted.exlibrisgroup.com/primo-explore/search?tab=default_tab&amp;search_scope=EVERYTHING&amp;vid=01CRU&amp;lang=en_US&amp;offset=0&amp;query=any,contains,991000948279702656","Catalog Record")</f>
        <v/>
      </c>
      <c r="AV912">
        <f>HYPERLINK("http://www.worldcat.org/oclc/22279867","WorldCat Record")</f>
        <v/>
      </c>
      <c r="AW912" t="inlineStr">
        <is>
          <t>354650170:eng</t>
        </is>
      </c>
      <c r="AX912" t="inlineStr">
        <is>
          <t>22279867</t>
        </is>
      </c>
      <c r="AY912" t="inlineStr">
        <is>
          <t>991000948279702656</t>
        </is>
      </c>
      <c r="AZ912" t="inlineStr">
        <is>
          <t>991000948279702656</t>
        </is>
      </c>
      <c r="BA912" t="inlineStr">
        <is>
          <t>2256973020002656</t>
        </is>
      </c>
      <c r="BB912" t="inlineStr">
        <is>
          <t>BOOK</t>
        </is>
      </c>
      <c r="BD912" t="inlineStr">
        <is>
          <t>9780881677355</t>
        </is>
      </c>
      <c r="BE912" t="inlineStr">
        <is>
          <t>30001002194399</t>
        </is>
      </c>
      <c r="BF912" t="inlineStr">
        <is>
          <t>893358031</t>
        </is>
      </c>
    </row>
    <row r="913">
      <c r="A913" t="inlineStr">
        <is>
          <t>No</t>
        </is>
      </c>
      <c r="B913" t="inlineStr">
        <is>
          <t>CUHSL</t>
        </is>
      </c>
      <c r="C913" t="inlineStr">
        <is>
          <t>SHELVES</t>
        </is>
      </c>
      <c r="D913" t="inlineStr">
        <is>
          <t>W 85 P2977 1980</t>
        </is>
      </c>
      <c r="E913" t="inlineStr">
        <is>
          <t>0                      W  0085000P  2977        1980</t>
        </is>
      </c>
      <c r="F913" t="inlineStr">
        <is>
          <t>Patient education : an inquiry into the state of the art / Wendy D. Squyres, editor ; with contributors.</t>
        </is>
      </c>
      <c r="H913" t="inlineStr">
        <is>
          <t>No</t>
        </is>
      </c>
      <c r="I913" t="inlineStr">
        <is>
          <t>1</t>
        </is>
      </c>
      <c r="J913" t="inlineStr">
        <is>
          <t>No</t>
        </is>
      </c>
      <c r="K913" t="inlineStr">
        <is>
          <t>No</t>
        </is>
      </c>
      <c r="L913" t="inlineStr">
        <is>
          <t>0</t>
        </is>
      </c>
      <c r="N913" t="inlineStr">
        <is>
          <t>New York : Springer, c1980.</t>
        </is>
      </c>
      <c r="O913" t="inlineStr">
        <is>
          <t>1980</t>
        </is>
      </c>
      <c r="Q913" t="inlineStr">
        <is>
          <t>eng</t>
        </is>
      </c>
      <c r="R913" t="inlineStr">
        <is>
          <t>nyu</t>
        </is>
      </c>
      <c r="S913" t="inlineStr">
        <is>
          <t>Springer series on health care and society ; v. 4</t>
        </is>
      </c>
      <c r="T913" t="inlineStr">
        <is>
          <t xml:space="preserve">W  </t>
        </is>
      </c>
      <c r="U913" t="n">
        <v>4</v>
      </c>
      <c r="V913" t="n">
        <v>4</v>
      </c>
      <c r="W913" t="inlineStr">
        <is>
          <t>1990-08-09</t>
        </is>
      </c>
      <c r="X913" t="inlineStr">
        <is>
          <t>1990-08-09</t>
        </is>
      </c>
      <c r="Y913" t="inlineStr">
        <is>
          <t>1987-12-22</t>
        </is>
      </c>
      <c r="Z913" t="inlineStr">
        <is>
          <t>1987-12-22</t>
        </is>
      </c>
      <c r="AA913" t="n">
        <v>57</v>
      </c>
      <c r="AB913" t="n">
        <v>52</v>
      </c>
      <c r="AC913" t="n">
        <v>241</v>
      </c>
      <c r="AD913" t="n">
        <v>1</v>
      </c>
      <c r="AE913" t="n">
        <v>1</v>
      </c>
      <c r="AF913" t="n">
        <v>1</v>
      </c>
      <c r="AG913" t="n">
        <v>7</v>
      </c>
      <c r="AH913" t="n">
        <v>0</v>
      </c>
      <c r="AI913" t="n">
        <v>4</v>
      </c>
      <c r="AJ913" t="n">
        <v>0</v>
      </c>
      <c r="AK913" t="n">
        <v>2</v>
      </c>
      <c r="AL913" t="n">
        <v>1</v>
      </c>
      <c r="AM913" t="n">
        <v>4</v>
      </c>
      <c r="AN913" t="n">
        <v>0</v>
      </c>
      <c r="AO913" t="n">
        <v>0</v>
      </c>
      <c r="AP913" t="n">
        <v>0</v>
      </c>
      <c r="AQ913" t="n">
        <v>0</v>
      </c>
      <c r="AR913" t="inlineStr">
        <is>
          <t>No</t>
        </is>
      </c>
      <c r="AS913" t="inlineStr">
        <is>
          <t>No</t>
        </is>
      </c>
      <c r="AU913">
        <f>HYPERLINK("https://creighton-primo.hosted.exlibrisgroup.com/primo-explore/search?tab=default_tab&amp;search_scope=EVERYTHING&amp;vid=01CRU&amp;lang=en_US&amp;offset=0&amp;query=any,contains,991000660049702656","Catalog Record")</f>
        <v/>
      </c>
      <c r="AV913">
        <f>HYPERLINK("http://www.worldcat.org/oclc/5888198","WorldCat Record")</f>
        <v/>
      </c>
      <c r="AW913" t="inlineStr">
        <is>
          <t>20357552:eng</t>
        </is>
      </c>
      <c r="AX913" t="inlineStr">
        <is>
          <t>5888198</t>
        </is>
      </c>
      <c r="AY913" t="inlineStr">
        <is>
          <t>991000660049702656</t>
        </is>
      </c>
      <c r="AZ913" t="inlineStr">
        <is>
          <t>991000660049702656</t>
        </is>
      </c>
      <c r="BA913" t="inlineStr">
        <is>
          <t>2267568800002656</t>
        </is>
      </c>
      <c r="BB913" t="inlineStr">
        <is>
          <t>BOOK</t>
        </is>
      </c>
      <c r="BD913" t="inlineStr">
        <is>
          <t>9780826131201</t>
        </is>
      </c>
      <c r="BE913" t="inlineStr">
        <is>
          <t>30001000688541</t>
        </is>
      </c>
      <c r="BF913" t="inlineStr">
        <is>
          <t>893651424</t>
        </is>
      </c>
    </row>
    <row r="914">
      <c r="A914" t="inlineStr">
        <is>
          <t>No</t>
        </is>
      </c>
      <c r="B914" t="inlineStr">
        <is>
          <t>CUHSL</t>
        </is>
      </c>
      <c r="C914" t="inlineStr">
        <is>
          <t>SHELVES</t>
        </is>
      </c>
      <c r="D914" t="inlineStr">
        <is>
          <t>W 85 P29883 1993</t>
        </is>
      </c>
      <c r="E914" t="inlineStr">
        <is>
          <t>0                      W  0085000P  29883       1993</t>
        </is>
      </c>
      <c r="F914" t="inlineStr">
        <is>
          <t>Patient satisfaction pays : quality service for practice success / Stephen W. Brown ... [et al.].</t>
        </is>
      </c>
      <c r="H914" t="inlineStr">
        <is>
          <t>No</t>
        </is>
      </c>
      <c r="I914" t="inlineStr">
        <is>
          <t>1</t>
        </is>
      </c>
      <c r="J914" t="inlineStr">
        <is>
          <t>No</t>
        </is>
      </c>
      <c r="K914" t="inlineStr">
        <is>
          <t>No</t>
        </is>
      </c>
      <c r="L914" t="inlineStr">
        <is>
          <t>0</t>
        </is>
      </c>
      <c r="N914" t="inlineStr">
        <is>
          <t>Gaithersburg, Md. : Aspen Publishers, c1993.</t>
        </is>
      </c>
      <c r="O914" t="inlineStr">
        <is>
          <t>1993</t>
        </is>
      </c>
      <c r="Q914" t="inlineStr">
        <is>
          <t>eng</t>
        </is>
      </c>
      <c r="R914" t="inlineStr">
        <is>
          <t>mdu</t>
        </is>
      </c>
      <c r="T914" t="inlineStr">
        <is>
          <t xml:space="preserve">W  </t>
        </is>
      </c>
      <c r="U914" t="n">
        <v>8</v>
      </c>
      <c r="V914" t="n">
        <v>8</v>
      </c>
      <c r="W914" t="inlineStr">
        <is>
          <t>1996-10-16</t>
        </is>
      </c>
      <c r="X914" t="inlineStr">
        <is>
          <t>1996-10-16</t>
        </is>
      </c>
      <c r="Y914" t="inlineStr">
        <is>
          <t>1993-09-02</t>
        </is>
      </c>
      <c r="Z914" t="inlineStr">
        <is>
          <t>1993-09-02</t>
        </is>
      </c>
      <c r="AA914" t="n">
        <v>192</v>
      </c>
      <c r="AB914" t="n">
        <v>173</v>
      </c>
      <c r="AC914" t="n">
        <v>173</v>
      </c>
      <c r="AD914" t="n">
        <v>1</v>
      </c>
      <c r="AE914" t="n">
        <v>1</v>
      </c>
      <c r="AF914" t="n">
        <v>5</v>
      </c>
      <c r="AG914" t="n">
        <v>5</v>
      </c>
      <c r="AH914" t="n">
        <v>2</v>
      </c>
      <c r="AI914" t="n">
        <v>2</v>
      </c>
      <c r="AJ914" t="n">
        <v>3</v>
      </c>
      <c r="AK914" t="n">
        <v>3</v>
      </c>
      <c r="AL914" t="n">
        <v>2</v>
      </c>
      <c r="AM914" t="n">
        <v>2</v>
      </c>
      <c r="AN914" t="n">
        <v>0</v>
      </c>
      <c r="AO914" t="n">
        <v>0</v>
      </c>
      <c r="AP914" t="n">
        <v>0</v>
      </c>
      <c r="AQ914" t="n">
        <v>0</v>
      </c>
      <c r="AR914" t="inlineStr">
        <is>
          <t>No</t>
        </is>
      </c>
      <c r="AS914" t="inlineStr">
        <is>
          <t>No</t>
        </is>
      </c>
      <c r="AU914">
        <f>HYPERLINK("https://creighton-primo.hosted.exlibrisgroup.com/primo-explore/search?tab=default_tab&amp;search_scope=EVERYTHING&amp;vid=01CRU&amp;lang=en_US&amp;offset=0&amp;query=any,contains,991001513639702656","Catalog Record")</f>
        <v/>
      </c>
      <c r="AV914">
        <f>HYPERLINK("http://www.worldcat.org/oclc/27432076","WorldCat Record")</f>
        <v/>
      </c>
      <c r="AW914" t="inlineStr">
        <is>
          <t>478823143:eng</t>
        </is>
      </c>
      <c r="AX914" t="inlineStr">
        <is>
          <t>27432076</t>
        </is>
      </c>
      <c r="AY914" t="inlineStr">
        <is>
          <t>991001513639702656</t>
        </is>
      </c>
      <c r="AZ914" t="inlineStr">
        <is>
          <t>991001513639702656</t>
        </is>
      </c>
      <c r="BA914" t="inlineStr">
        <is>
          <t>2264943310002656</t>
        </is>
      </c>
      <c r="BB914" t="inlineStr">
        <is>
          <t>BOOK</t>
        </is>
      </c>
      <c r="BD914" t="inlineStr">
        <is>
          <t>9780834203945</t>
        </is>
      </c>
      <c r="BE914" t="inlineStr">
        <is>
          <t>30001002601351</t>
        </is>
      </c>
      <c r="BF914" t="inlineStr">
        <is>
          <t>893649289</t>
        </is>
      </c>
    </row>
    <row r="915">
      <c r="A915" t="inlineStr">
        <is>
          <t>No</t>
        </is>
      </c>
      <c r="B915" t="inlineStr">
        <is>
          <t>CUHSL</t>
        </is>
      </c>
      <c r="C915" t="inlineStr">
        <is>
          <t>SHELVES</t>
        </is>
      </c>
      <c r="D915" t="inlineStr">
        <is>
          <t>W 85 P29888 1997</t>
        </is>
      </c>
      <c r="E915" t="inlineStr">
        <is>
          <t>0                      W  0085000P  29888       1997</t>
        </is>
      </c>
      <c r="F915" t="inlineStr">
        <is>
          <t>The patient's voice : experiences of illness / [edited by] Jeanine Young-Mason.</t>
        </is>
      </c>
      <c r="H915" t="inlineStr">
        <is>
          <t>No</t>
        </is>
      </c>
      <c r="I915" t="inlineStr">
        <is>
          <t>1</t>
        </is>
      </c>
      <c r="J915" t="inlineStr">
        <is>
          <t>No</t>
        </is>
      </c>
      <c r="K915" t="inlineStr">
        <is>
          <t>No</t>
        </is>
      </c>
      <c r="L915" t="inlineStr">
        <is>
          <t>0</t>
        </is>
      </c>
      <c r="N915" t="inlineStr">
        <is>
          <t>Philadelphia : F.A. Davis, c1997.</t>
        </is>
      </c>
      <c r="O915" t="inlineStr">
        <is>
          <t>1997</t>
        </is>
      </c>
      <c r="Q915" t="inlineStr">
        <is>
          <t>eng</t>
        </is>
      </c>
      <c r="R915" t="inlineStr">
        <is>
          <t>pau</t>
        </is>
      </c>
      <c r="T915" t="inlineStr">
        <is>
          <t xml:space="preserve">W  </t>
        </is>
      </c>
      <c r="U915" t="n">
        <v>1</v>
      </c>
      <c r="V915" t="n">
        <v>1</v>
      </c>
      <c r="W915" t="inlineStr">
        <is>
          <t>1999-09-28</t>
        </is>
      </c>
      <c r="X915" t="inlineStr">
        <is>
          <t>1999-09-28</t>
        </is>
      </c>
      <c r="Y915" t="inlineStr">
        <is>
          <t>1998-01-16</t>
        </is>
      </c>
      <c r="Z915" t="inlineStr">
        <is>
          <t>1998-01-16</t>
        </is>
      </c>
      <c r="AA915" t="n">
        <v>393</v>
      </c>
      <c r="AB915" t="n">
        <v>322</v>
      </c>
      <c r="AC915" t="n">
        <v>380</v>
      </c>
      <c r="AD915" t="n">
        <v>2</v>
      </c>
      <c r="AE915" t="n">
        <v>2</v>
      </c>
      <c r="AF915" t="n">
        <v>12</v>
      </c>
      <c r="AG915" t="n">
        <v>14</v>
      </c>
      <c r="AH915" t="n">
        <v>4</v>
      </c>
      <c r="AI915" t="n">
        <v>6</v>
      </c>
      <c r="AJ915" t="n">
        <v>3</v>
      </c>
      <c r="AK915" t="n">
        <v>4</v>
      </c>
      <c r="AL915" t="n">
        <v>8</v>
      </c>
      <c r="AM915" t="n">
        <v>8</v>
      </c>
      <c r="AN915" t="n">
        <v>1</v>
      </c>
      <c r="AO915" t="n">
        <v>1</v>
      </c>
      <c r="AP915" t="n">
        <v>0</v>
      </c>
      <c r="AQ915" t="n">
        <v>0</v>
      </c>
      <c r="AR915" t="inlineStr">
        <is>
          <t>No</t>
        </is>
      </c>
      <c r="AS915" t="inlineStr">
        <is>
          <t>No</t>
        </is>
      </c>
      <c r="AU915">
        <f>HYPERLINK("https://creighton-primo.hosted.exlibrisgroup.com/primo-explore/search?tab=default_tab&amp;search_scope=EVERYTHING&amp;vid=01CRU&amp;lang=en_US&amp;offset=0&amp;query=any,contains,991001294249702656","Catalog Record")</f>
        <v/>
      </c>
      <c r="AV915">
        <f>HYPERLINK("http://www.worldcat.org/oclc/35086113","WorldCat Record")</f>
        <v/>
      </c>
      <c r="AW915" t="inlineStr">
        <is>
          <t>40642571:eng</t>
        </is>
      </c>
      <c r="AX915" t="inlineStr">
        <is>
          <t>35086113</t>
        </is>
      </c>
      <c r="AY915" t="inlineStr">
        <is>
          <t>991001294249702656</t>
        </is>
      </c>
      <c r="AZ915" t="inlineStr">
        <is>
          <t>991001294249702656</t>
        </is>
      </c>
      <c r="BA915" t="inlineStr">
        <is>
          <t>2255518730002656</t>
        </is>
      </c>
      <c r="BB915" t="inlineStr">
        <is>
          <t>BOOK</t>
        </is>
      </c>
      <c r="BD915" t="inlineStr">
        <is>
          <t>9780803601628</t>
        </is>
      </c>
      <c r="BE915" t="inlineStr">
        <is>
          <t>30001003740349</t>
        </is>
      </c>
      <c r="BF915" t="inlineStr">
        <is>
          <t>893731851</t>
        </is>
      </c>
    </row>
    <row r="916">
      <c r="A916" t="inlineStr">
        <is>
          <t>No</t>
        </is>
      </c>
      <c r="B916" t="inlineStr">
        <is>
          <t>CUHSL</t>
        </is>
      </c>
      <c r="C916" t="inlineStr">
        <is>
          <t>SHELVES</t>
        </is>
      </c>
      <c r="D916" t="inlineStr">
        <is>
          <t>W 85 P895 1981</t>
        </is>
      </c>
      <c r="E916" t="inlineStr">
        <is>
          <t>0                      W  0085000P  895         1981</t>
        </is>
      </c>
      <c r="F916" t="inlineStr">
        <is>
          <t>Practical approaches to patient teaching / edited by Donald A. Bille ; foreword by John C. Weaver.</t>
        </is>
      </c>
      <c r="H916" t="inlineStr">
        <is>
          <t>No</t>
        </is>
      </c>
      <c r="I916" t="inlineStr">
        <is>
          <t>1</t>
        </is>
      </c>
      <c r="J916" t="inlineStr">
        <is>
          <t>No</t>
        </is>
      </c>
      <c r="K916" t="inlineStr">
        <is>
          <t>No</t>
        </is>
      </c>
      <c r="L916" t="inlineStr">
        <is>
          <t>0</t>
        </is>
      </c>
      <c r="N916" t="inlineStr">
        <is>
          <t>Boston : Little, Brown, c1981.</t>
        </is>
      </c>
      <c r="O916" t="inlineStr">
        <is>
          <t>1981</t>
        </is>
      </c>
      <c r="P916" t="inlineStr">
        <is>
          <t>1st ed.</t>
        </is>
      </c>
      <c r="Q916" t="inlineStr">
        <is>
          <t>eng</t>
        </is>
      </c>
      <c r="R916" t="inlineStr">
        <is>
          <t>mau</t>
        </is>
      </c>
      <c r="T916" t="inlineStr">
        <is>
          <t xml:space="preserve">W  </t>
        </is>
      </c>
      <c r="U916" t="n">
        <v>3</v>
      </c>
      <c r="V916" t="n">
        <v>3</v>
      </c>
      <c r="W916" t="inlineStr">
        <is>
          <t>1989-10-31</t>
        </is>
      </c>
      <c r="X916" t="inlineStr">
        <is>
          <t>1989-10-31</t>
        </is>
      </c>
      <c r="Y916" t="inlineStr">
        <is>
          <t>1987-12-22</t>
        </is>
      </c>
      <c r="Z916" t="inlineStr">
        <is>
          <t>1987-12-22</t>
        </is>
      </c>
      <c r="AA916" t="n">
        <v>316</v>
      </c>
      <c r="AB916" t="n">
        <v>273</v>
      </c>
      <c r="AC916" t="n">
        <v>278</v>
      </c>
      <c r="AD916" t="n">
        <v>1</v>
      </c>
      <c r="AE916" t="n">
        <v>1</v>
      </c>
      <c r="AF916" t="n">
        <v>11</v>
      </c>
      <c r="AG916" t="n">
        <v>11</v>
      </c>
      <c r="AH916" t="n">
        <v>4</v>
      </c>
      <c r="AI916" t="n">
        <v>4</v>
      </c>
      <c r="AJ916" t="n">
        <v>4</v>
      </c>
      <c r="AK916" t="n">
        <v>4</v>
      </c>
      <c r="AL916" t="n">
        <v>6</v>
      </c>
      <c r="AM916" t="n">
        <v>6</v>
      </c>
      <c r="AN916" t="n">
        <v>0</v>
      </c>
      <c r="AO916" t="n">
        <v>0</v>
      </c>
      <c r="AP916" t="n">
        <v>0</v>
      </c>
      <c r="AQ916" t="n">
        <v>0</v>
      </c>
      <c r="AR916" t="inlineStr">
        <is>
          <t>No</t>
        </is>
      </c>
      <c r="AS916" t="inlineStr">
        <is>
          <t>No</t>
        </is>
      </c>
      <c r="AU916">
        <f>HYPERLINK("https://creighton-primo.hosted.exlibrisgroup.com/primo-explore/search?tab=default_tab&amp;search_scope=EVERYTHING&amp;vid=01CRU&amp;lang=en_US&amp;offset=0&amp;query=any,contains,991000660009702656","Catalog Record")</f>
        <v/>
      </c>
      <c r="AV916">
        <f>HYPERLINK("http://www.worldcat.org/oclc/7424433","WorldCat Record")</f>
        <v/>
      </c>
      <c r="AW916" t="inlineStr">
        <is>
          <t>447139:eng</t>
        </is>
      </c>
      <c r="AX916" t="inlineStr">
        <is>
          <t>7424433</t>
        </is>
      </c>
      <c r="AY916" t="inlineStr">
        <is>
          <t>991000660009702656</t>
        </is>
      </c>
      <c r="AZ916" t="inlineStr">
        <is>
          <t>991000660009702656</t>
        </is>
      </c>
      <c r="BA916" t="inlineStr">
        <is>
          <t>2256877200002656</t>
        </is>
      </c>
      <c r="BB916" t="inlineStr">
        <is>
          <t>BOOK</t>
        </is>
      </c>
      <c r="BD916" t="inlineStr">
        <is>
          <t>9780316094986</t>
        </is>
      </c>
      <c r="BE916" t="inlineStr">
        <is>
          <t>30001000688533</t>
        </is>
      </c>
      <c r="BF916" t="inlineStr">
        <is>
          <t>893362707</t>
        </is>
      </c>
    </row>
    <row r="917">
      <c r="A917" t="inlineStr">
        <is>
          <t>No</t>
        </is>
      </c>
      <c r="B917" t="inlineStr">
        <is>
          <t>CUHSL</t>
        </is>
      </c>
      <c r="C917" t="inlineStr">
        <is>
          <t>SHELVES</t>
        </is>
      </c>
      <c r="D917" t="inlineStr">
        <is>
          <t>W 85 R514p 1997</t>
        </is>
      </c>
      <c r="E917" t="inlineStr">
        <is>
          <t>0                      W  0085000R  514p        1997</t>
        </is>
      </c>
      <c r="F917" t="inlineStr">
        <is>
          <t>Putting the patient first : upfront with advocacy and community service / written by Bob Richards, Jeanan Yasiri.</t>
        </is>
      </c>
      <c r="H917" t="inlineStr">
        <is>
          <t>No</t>
        </is>
      </c>
      <c r="I917" t="inlineStr">
        <is>
          <t>1</t>
        </is>
      </c>
      <c r="J917" t="inlineStr">
        <is>
          <t>No</t>
        </is>
      </c>
      <c r="K917" t="inlineStr">
        <is>
          <t>No</t>
        </is>
      </c>
      <c r="L917" t="inlineStr">
        <is>
          <t>0</t>
        </is>
      </c>
      <c r="M917" t="inlineStr">
        <is>
          <t>Richards, Bob.</t>
        </is>
      </c>
      <c r="N917" t="inlineStr">
        <is>
          <t>Englewood, CO : Medical Group Management Association, c1997.</t>
        </is>
      </c>
      <c r="O917" t="inlineStr">
        <is>
          <t>1997</t>
        </is>
      </c>
      <c r="Q917" t="inlineStr">
        <is>
          <t>eng</t>
        </is>
      </c>
      <c r="R917" t="inlineStr">
        <is>
          <t>cou</t>
        </is>
      </c>
      <c r="T917" t="inlineStr">
        <is>
          <t xml:space="preserve">W  </t>
        </is>
      </c>
      <c r="U917" t="n">
        <v>1</v>
      </c>
      <c r="V917" t="n">
        <v>1</v>
      </c>
      <c r="W917" t="inlineStr">
        <is>
          <t>2006-01-30</t>
        </is>
      </c>
      <c r="X917" t="inlineStr">
        <is>
          <t>2006-01-30</t>
        </is>
      </c>
      <c r="Y917" t="inlineStr">
        <is>
          <t>2004-09-24</t>
        </is>
      </c>
      <c r="Z917" t="inlineStr">
        <is>
          <t>2004-09-24</t>
        </is>
      </c>
      <c r="AA917" t="n">
        <v>17</v>
      </c>
      <c r="AB917" t="n">
        <v>15</v>
      </c>
      <c r="AC917" t="n">
        <v>15</v>
      </c>
      <c r="AD917" t="n">
        <v>1</v>
      </c>
      <c r="AE917" t="n">
        <v>1</v>
      </c>
      <c r="AF917" t="n">
        <v>0</v>
      </c>
      <c r="AG917" t="n">
        <v>0</v>
      </c>
      <c r="AH917" t="n">
        <v>0</v>
      </c>
      <c r="AI917" t="n">
        <v>0</v>
      </c>
      <c r="AJ917" t="n">
        <v>0</v>
      </c>
      <c r="AK917" t="n">
        <v>0</v>
      </c>
      <c r="AL917" t="n">
        <v>0</v>
      </c>
      <c r="AM917" t="n">
        <v>0</v>
      </c>
      <c r="AN917" t="n">
        <v>0</v>
      </c>
      <c r="AO917" t="n">
        <v>0</v>
      </c>
      <c r="AP917" t="n">
        <v>0</v>
      </c>
      <c r="AQ917" t="n">
        <v>0</v>
      </c>
      <c r="AR917" t="inlineStr">
        <is>
          <t>No</t>
        </is>
      </c>
      <c r="AS917" t="inlineStr">
        <is>
          <t>No</t>
        </is>
      </c>
      <c r="AU917">
        <f>HYPERLINK("https://creighton-primo.hosted.exlibrisgroup.com/primo-explore/search?tab=default_tab&amp;search_scope=EVERYTHING&amp;vid=01CRU&amp;lang=en_US&amp;offset=0&amp;query=any,contains,991000397209702656","Catalog Record")</f>
        <v/>
      </c>
      <c r="AV917">
        <f>HYPERLINK("http://www.worldcat.org/oclc/38402593","WorldCat Record")</f>
        <v/>
      </c>
      <c r="AW917" t="inlineStr">
        <is>
          <t>41342741:eng</t>
        </is>
      </c>
      <c r="AX917" t="inlineStr">
        <is>
          <t>38402593</t>
        </is>
      </c>
      <c r="AY917" t="inlineStr">
        <is>
          <t>991000397209702656</t>
        </is>
      </c>
      <c r="AZ917" t="inlineStr">
        <is>
          <t>991000397209702656</t>
        </is>
      </c>
      <c r="BA917" t="inlineStr">
        <is>
          <t>2260541870002656</t>
        </is>
      </c>
      <c r="BB917" t="inlineStr">
        <is>
          <t>BOOK</t>
        </is>
      </c>
      <c r="BD917" t="inlineStr">
        <is>
          <t>9781568290829</t>
        </is>
      </c>
      <c r="BE917" t="inlineStr">
        <is>
          <t>30001004978815</t>
        </is>
      </c>
      <c r="BF917" t="inlineStr">
        <is>
          <t>893275032</t>
        </is>
      </c>
    </row>
    <row r="918">
      <c r="A918" t="inlineStr">
        <is>
          <t>No</t>
        </is>
      </c>
      <c r="B918" t="inlineStr">
        <is>
          <t>CUHSL</t>
        </is>
      </c>
      <c r="C918" t="inlineStr">
        <is>
          <t>SHELVES</t>
        </is>
      </c>
      <c r="D918" t="inlineStr">
        <is>
          <t>W 85 R651r 1983</t>
        </is>
      </c>
      <c r="E918" t="inlineStr">
        <is>
          <t>0                      W  0085000R  651r        1983</t>
        </is>
      </c>
      <c r="F918" t="inlineStr">
        <is>
          <t>The rights of the critically ill : the basic ACLU guide to the rights of critically ill and dying patients / John A. Robertson.</t>
        </is>
      </c>
      <c r="H918" t="inlineStr">
        <is>
          <t>No</t>
        </is>
      </c>
      <c r="I918" t="inlineStr">
        <is>
          <t>1</t>
        </is>
      </c>
      <c r="J918" t="inlineStr">
        <is>
          <t>No</t>
        </is>
      </c>
      <c r="K918" t="inlineStr">
        <is>
          <t>No</t>
        </is>
      </c>
      <c r="L918" t="inlineStr">
        <is>
          <t>0</t>
        </is>
      </c>
      <c r="M918" t="inlineStr">
        <is>
          <t>Robertson, John A. (John Ancona), 1943-</t>
        </is>
      </c>
      <c r="N918" t="inlineStr">
        <is>
          <t>Cambridge, Mass. : Ballinger, c1983.</t>
        </is>
      </c>
      <c r="O918" t="inlineStr">
        <is>
          <t>1983</t>
        </is>
      </c>
      <c r="Q918" t="inlineStr">
        <is>
          <t>eng</t>
        </is>
      </c>
      <c r="R918" t="inlineStr">
        <is>
          <t>xxu</t>
        </is>
      </c>
      <c r="S918" t="inlineStr">
        <is>
          <t>An American Civil Liberties Union handbook.</t>
        </is>
      </c>
      <c r="T918" t="inlineStr">
        <is>
          <t xml:space="preserve">W  </t>
        </is>
      </c>
      <c r="U918" t="n">
        <v>2</v>
      </c>
      <c r="V918" t="n">
        <v>2</v>
      </c>
      <c r="W918" t="inlineStr">
        <is>
          <t>1988-11-02</t>
        </is>
      </c>
      <c r="X918" t="inlineStr">
        <is>
          <t>1988-11-02</t>
        </is>
      </c>
      <c r="Y918" t="inlineStr">
        <is>
          <t>1987-12-22</t>
        </is>
      </c>
      <c r="Z918" t="inlineStr">
        <is>
          <t>1987-12-22</t>
        </is>
      </c>
      <c r="AA918" t="n">
        <v>494</v>
      </c>
      <c r="AB918" t="n">
        <v>463</v>
      </c>
      <c r="AC918" t="n">
        <v>752</v>
      </c>
      <c r="AD918" t="n">
        <v>3</v>
      </c>
      <c r="AE918" t="n">
        <v>6</v>
      </c>
      <c r="AF918" t="n">
        <v>26</v>
      </c>
      <c r="AG918" t="n">
        <v>33</v>
      </c>
      <c r="AH918" t="n">
        <v>4</v>
      </c>
      <c r="AI918" t="n">
        <v>7</v>
      </c>
      <c r="AJ918" t="n">
        <v>1</v>
      </c>
      <c r="AK918" t="n">
        <v>2</v>
      </c>
      <c r="AL918" t="n">
        <v>6</v>
      </c>
      <c r="AM918" t="n">
        <v>10</v>
      </c>
      <c r="AN918" t="n">
        <v>1</v>
      </c>
      <c r="AO918" t="n">
        <v>2</v>
      </c>
      <c r="AP918" t="n">
        <v>16</v>
      </c>
      <c r="AQ918" t="n">
        <v>17</v>
      </c>
      <c r="AR918" t="inlineStr">
        <is>
          <t>No</t>
        </is>
      </c>
      <c r="AS918" t="inlineStr">
        <is>
          <t>Yes</t>
        </is>
      </c>
      <c r="AT918">
        <f>HYPERLINK("http://catalog.hathitrust.org/Record/000238000","HathiTrust Record")</f>
        <v/>
      </c>
      <c r="AU918">
        <f>HYPERLINK("https://creighton-primo.hosted.exlibrisgroup.com/primo-explore/search?tab=default_tab&amp;search_scope=EVERYTHING&amp;vid=01CRU&amp;lang=en_US&amp;offset=0&amp;query=any,contains,991000660199702656","Catalog Record")</f>
        <v/>
      </c>
      <c r="AV918">
        <f>HYPERLINK("http://www.worldcat.org/oclc/9324741","WorldCat Record")</f>
        <v/>
      </c>
      <c r="AW918" t="inlineStr">
        <is>
          <t>4061431065:eng</t>
        </is>
      </c>
      <c r="AX918" t="inlineStr">
        <is>
          <t>9324741</t>
        </is>
      </c>
      <c r="AY918" t="inlineStr">
        <is>
          <t>991000660199702656</t>
        </is>
      </c>
      <c r="AZ918" t="inlineStr">
        <is>
          <t>991000660199702656</t>
        </is>
      </c>
      <c r="BA918" t="inlineStr">
        <is>
          <t>2263606050002656</t>
        </is>
      </c>
      <c r="BB918" t="inlineStr">
        <is>
          <t>BOOK</t>
        </is>
      </c>
      <c r="BD918" t="inlineStr">
        <is>
          <t>9780884107330</t>
        </is>
      </c>
      <c r="BE918" t="inlineStr">
        <is>
          <t>30001000688566</t>
        </is>
      </c>
      <c r="BF918" t="inlineStr">
        <is>
          <t>893560381</t>
        </is>
      </c>
    </row>
    <row r="919">
      <c r="A919" t="inlineStr">
        <is>
          <t>No</t>
        </is>
      </c>
      <c r="B919" t="inlineStr">
        <is>
          <t>CUHSL</t>
        </is>
      </c>
      <c r="C919" t="inlineStr">
        <is>
          <t>SHELVES</t>
        </is>
      </c>
      <c r="D919" t="inlineStr">
        <is>
          <t>W 85 Z66p 1983</t>
        </is>
      </c>
      <c r="E919" t="inlineStr">
        <is>
          <t>0                      W  0085000Z  66p         1983</t>
        </is>
      </c>
      <c r="F919" t="inlineStr">
        <is>
          <t>Patients' rights and professional practice / James T. Ziegenfuss, Jr.</t>
        </is>
      </c>
      <c r="H919" t="inlineStr">
        <is>
          <t>No</t>
        </is>
      </c>
      <c r="I919" t="inlineStr">
        <is>
          <t>1</t>
        </is>
      </c>
      <c r="J919" t="inlineStr">
        <is>
          <t>No</t>
        </is>
      </c>
      <c r="K919" t="inlineStr">
        <is>
          <t>No</t>
        </is>
      </c>
      <c r="L919" t="inlineStr">
        <is>
          <t>0</t>
        </is>
      </c>
      <c r="M919" t="inlineStr">
        <is>
          <t>Ziegenfuss, James T.</t>
        </is>
      </c>
      <c r="N919" t="inlineStr">
        <is>
          <t>New York : Van Nostrand Reinhold, c1983.</t>
        </is>
      </c>
      <c r="O919" t="inlineStr">
        <is>
          <t>1983</t>
        </is>
      </c>
      <c r="Q919" t="inlineStr">
        <is>
          <t>eng</t>
        </is>
      </c>
      <c r="R919" t="inlineStr">
        <is>
          <t>xxu</t>
        </is>
      </c>
      <c r="T919" t="inlineStr">
        <is>
          <t xml:space="preserve">W  </t>
        </is>
      </c>
      <c r="U919" t="n">
        <v>8</v>
      </c>
      <c r="V919" t="n">
        <v>8</v>
      </c>
      <c r="W919" t="inlineStr">
        <is>
          <t>1992-04-01</t>
        </is>
      </c>
      <c r="X919" t="inlineStr">
        <is>
          <t>1992-04-01</t>
        </is>
      </c>
      <c r="Y919" t="inlineStr">
        <is>
          <t>1987-12-22</t>
        </is>
      </c>
      <c r="Z919" t="inlineStr">
        <is>
          <t>1987-12-22</t>
        </is>
      </c>
      <c r="AA919" t="n">
        <v>265</v>
      </c>
      <c r="AB919" t="n">
        <v>237</v>
      </c>
      <c r="AC919" t="n">
        <v>237</v>
      </c>
      <c r="AD919" t="n">
        <v>1</v>
      </c>
      <c r="AE919" t="n">
        <v>1</v>
      </c>
      <c r="AF919" t="n">
        <v>15</v>
      </c>
      <c r="AG919" t="n">
        <v>15</v>
      </c>
      <c r="AH919" t="n">
        <v>4</v>
      </c>
      <c r="AI919" t="n">
        <v>4</v>
      </c>
      <c r="AJ919" t="n">
        <v>2</v>
      </c>
      <c r="AK919" t="n">
        <v>2</v>
      </c>
      <c r="AL919" t="n">
        <v>4</v>
      </c>
      <c r="AM919" t="n">
        <v>4</v>
      </c>
      <c r="AN919" t="n">
        <v>0</v>
      </c>
      <c r="AO919" t="n">
        <v>0</v>
      </c>
      <c r="AP919" t="n">
        <v>8</v>
      </c>
      <c r="AQ919" t="n">
        <v>8</v>
      </c>
      <c r="AR919" t="inlineStr">
        <is>
          <t>No</t>
        </is>
      </c>
      <c r="AS919" t="inlineStr">
        <is>
          <t>No</t>
        </is>
      </c>
      <c r="AU919">
        <f>HYPERLINK("https://creighton-primo.hosted.exlibrisgroup.com/primo-explore/search?tab=default_tab&amp;search_scope=EVERYTHING&amp;vid=01CRU&amp;lang=en_US&amp;offset=0&amp;query=any,contains,991000660339702656","Catalog Record")</f>
        <v/>
      </c>
      <c r="AV919">
        <f>HYPERLINK("http://www.worldcat.org/oclc/8786149","WorldCat Record")</f>
        <v/>
      </c>
      <c r="AW919" t="inlineStr">
        <is>
          <t>43196673:eng</t>
        </is>
      </c>
      <c r="AX919" t="inlineStr">
        <is>
          <t>8786149</t>
        </is>
      </c>
      <c r="AY919" t="inlineStr">
        <is>
          <t>991000660339702656</t>
        </is>
      </c>
      <c r="AZ919" t="inlineStr">
        <is>
          <t>991000660339702656</t>
        </is>
      </c>
      <c r="BA919" t="inlineStr">
        <is>
          <t>2268123700002656</t>
        </is>
      </c>
      <c r="BB919" t="inlineStr">
        <is>
          <t>BOOK</t>
        </is>
      </c>
      <c r="BD919" t="inlineStr">
        <is>
          <t>9780442294342</t>
        </is>
      </c>
      <c r="BE919" t="inlineStr">
        <is>
          <t>30001000688590</t>
        </is>
      </c>
      <c r="BF919" t="inlineStr">
        <is>
          <t>893147876</t>
        </is>
      </c>
    </row>
    <row r="920">
      <c r="A920" t="inlineStr">
        <is>
          <t>No</t>
        </is>
      </c>
      <c r="B920" t="inlineStr">
        <is>
          <t>CUHSL</t>
        </is>
      </c>
      <c r="C920" t="inlineStr">
        <is>
          <t>SHELVES</t>
        </is>
      </c>
      <c r="D920" t="inlineStr">
        <is>
          <t>W87 B398 2003</t>
        </is>
      </c>
      <c r="E920" t="inlineStr">
        <is>
          <t>0                      W  0087000B  398         2003</t>
        </is>
      </c>
      <c r="F920" t="inlineStr">
        <is>
          <t>Becoming an advanced healthcare practitioner / edited by Gillian Brown, Susan A. Esdaile, Susan E. Ryan ; foreword by Orvill Adams.</t>
        </is>
      </c>
      <c r="H920" t="inlineStr">
        <is>
          <t>No</t>
        </is>
      </c>
      <c r="I920" t="inlineStr">
        <is>
          <t>1</t>
        </is>
      </c>
      <c r="J920" t="inlineStr">
        <is>
          <t>No</t>
        </is>
      </c>
      <c r="K920" t="inlineStr">
        <is>
          <t>No</t>
        </is>
      </c>
      <c r="L920" t="inlineStr">
        <is>
          <t>0</t>
        </is>
      </c>
      <c r="N920" t="inlineStr">
        <is>
          <t>Edinburgh ; New York : Butterworth-Heinemann, 2003.</t>
        </is>
      </c>
      <c r="O920" t="inlineStr">
        <is>
          <t>2003</t>
        </is>
      </c>
      <c r="Q920" t="inlineStr">
        <is>
          <t>eng</t>
        </is>
      </c>
      <c r="R920" t="inlineStr">
        <is>
          <t>stk</t>
        </is>
      </c>
      <c r="T920" t="inlineStr">
        <is>
          <t xml:space="preserve">W  </t>
        </is>
      </c>
      <c r="U920" t="n">
        <v>0</v>
      </c>
      <c r="V920" t="n">
        <v>0</v>
      </c>
      <c r="W920" t="inlineStr">
        <is>
          <t>2003-12-16</t>
        </is>
      </c>
      <c r="X920" t="inlineStr">
        <is>
          <t>2003-12-16</t>
        </is>
      </c>
      <c r="Y920" t="inlineStr">
        <is>
          <t>2003-12-16</t>
        </is>
      </c>
      <c r="Z920" t="inlineStr">
        <is>
          <t>2003-12-16</t>
        </is>
      </c>
      <c r="AA920" t="n">
        <v>159</v>
      </c>
      <c r="AB920" t="n">
        <v>56</v>
      </c>
      <c r="AC920" t="n">
        <v>82</v>
      </c>
      <c r="AD920" t="n">
        <v>1</v>
      </c>
      <c r="AE920" t="n">
        <v>1</v>
      </c>
      <c r="AF920" t="n">
        <v>1</v>
      </c>
      <c r="AG920" t="n">
        <v>2</v>
      </c>
      <c r="AH920" t="n">
        <v>1</v>
      </c>
      <c r="AI920" t="n">
        <v>1</v>
      </c>
      <c r="AJ920" t="n">
        <v>0</v>
      </c>
      <c r="AK920" t="n">
        <v>1</v>
      </c>
      <c r="AL920" t="n">
        <v>0</v>
      </c>
      <c r="AM920" t="n">
        <v>0</v>
      </c>
      <c r="AN920" t="n">
        <v>0</v>
      </c>
      <c r="AO920" t="n">
        <v>0</v>
      </c>
      <c r="AP920" t="n">
        <v>0</v>
      </c>
      <c r="AQ920" t="n">
        <v>0</v>
      </c>
      <c r="AR920" t="inlineStr">
        <is>
          <t>No</t>
        </is>
      </c>
      <c r="AS920" t="inlineStr">
        <is>
          <t>No</t>
        </is>
      </c>
      <c r="AU920">
        <f>HYPERLINK("https://creighton-primo.hosted.exlibrisgroup.com/primo-explore/search?tab=default_tab&amp;search_scope=EVERYTHING&amp;vid=01CRU&amp;lang=en_US&amp;offset=0&amp;query=any,contains,991000362259702656","Catalog Record")</f>
        <v/>
      </c>
      <c r="AV920">
        <f>HYPERLINK("http://www.worldcat.org/oclc/51648115","WorldCat Record")</f>
        <v/>
      </c>
      <c r="AW920" t="inlineStr">
        <is>
          <t>943575582:eng</t>
        </is>
      </c>
      <c r="AX920" t="inlineStr">
        <is>
          <t>51648115</t>
        </is>
      </c>
      <c r="AY920" t="inlineStr">
        <is>
          <t>991000362259702656</t>
        </is>
      </c>
      <c r="AZ920" t="inlineStr">
        <is>
          <t>991000362259702656</t>
        </is>
      </c>
      <c r="BA920" t="inlineStr">
        <is>
          <t>2271593550002656</t>
        </is>
      </c>
      <c r="BB920" t="inlineStr">
        <is>
          <t>BOOK</t>
        </is>
      </c>
      <c r="BD920" t="inlineStr">
        <is>
          <t>9780750654418</t>
        </is>
      </c>
      <c r="BE920" t="inlineStr">
        <is>
          <t>30001004507861</t>
        </is>
      </c>
      <c r="BF920" t="inlineStr">
        <is>
          <t>893279948</t>
        </is>
      </c>
    </row>
    <row r="921">
      <c r="A921" t="inlineStr">
        <is>
          <t>No</t>
        </is>
      </c>
      <c r="B921" t="inlineStr">
        <is>
          <t>CUHSL</t>
        </is>
      </c>
      <c r="C921" t="inlineStr">
        <is>
          <t>SHELVES</t>
        </is>
      </c>
      <c r="D921" t="inlineStr">
        <is>
          <t>W 87 D489 1998</t>
        </is>
      </c>
      <c r="E921" t="inlineStr">
        <is>
          <t>0                      W  0087000D  489         1998</t>
        </is>
      </c>
      <c r="F921" t="inlineStr">
        <is>
          <t>Developing professional judgement in health care : learning through the critical appreciation of practice / edited by Della Fish, Colin Coles.</t>
        </is>
      </c>
      <c r="H921" t="inlineStr">
        <is>
          <t>No</t>
        </is>
      </c>
      <c r="I921" t="inlineStr">
        <is>
          <t>1</t>
        </is>
      </c>
      <c r="J921" t="inlineStr">
        <is>
          <t>No</t>
        </is>
      </c>
      <c r="K921" t="inlineStr">
        <is>
          <t>No</t>
        </is>
      </c>
      <c r="L921" t="inlineStr">
        <is>
          <t>0</t>
        </is>
      </c>
      <c r="N921" t="inlineStr">
        <is>
          <t>Oxford ; Boston : Butterworth-Heinemann, 1998.</t>
        </is>
      </c>
      <c r="O921" t="inlineStr">
        <is>
          <t>1998</t>
        </is>
      </c>
      <c r="Q921" t="inlineStr">
        <is>
          <t>eng</t>
        </is>
      </c>
      <c r="R921" t="inlineStr">
        <is>
          <t>enk</t>
        </is>
      </c>
      <c r="T921" t="inlineStr">
        <is>
          <t xml:space="preserve">W  </t>
        </is>
      </c>
      <c r="U921" t="n">
        <v>2</v>
      </c>
      <c r="V921" t="n">
        <v>2</v>
      </c>
      <c r="W921" t="inlineStr">
        <is>
          <t>1999-11-09</t>
        </is>
      </c>
      <c r="X921" t="inlineStr">
        <is>
          <t>1999-11-09</t>
        </is>
      </c>
      <c r="Y921" t="inlineStr">
        <is>
          <t>1999-11-05</t>
        </is>
      </c>
      <c r="Z921" t="inlineStr">
        <is>
          <t>1999-11-05</t>
        </is>
      </c>
      <c r="AA921" t="n">
        <v>169</v>
      </c>
      <c r="AB921" t="n">
        <v>89</v>
      </c>
      <c r="AC921" t="n">
        <v>94</v>
      </c>
      <c r="AD921" t="n">
        <v>1</v>
      </c>
      <c r="AE921" t="n">
        <v>1</v>
      </c>
      <c r="AF921" t="n">
        <v>4</v>
      </c>
      <c r="AG921" t="n">
        <v>4</v>
      </c>
      <c r="AH921" t="n">
        <v>0</v>
      </c>
      <c r="AI921" t="n">
        <v>0</v>
      </c>
      <c r="AJ921" t="n">
        <v>3</v>
      </c>
      <c r="AK921" t="n">
        <v>3</v>
      </c>
      <c r="AL921" t="n">
        <v>3</v>
      </c>
      <c r="AM921" t="n">
        <v>3</v>
      </c>
      <c r="AN921" t="n">
        <v>0</v>
      </c>
      <c r="AO921" t="n">
        <v>0</v>
      </c>
      <c r="AP921" t="n">
        <v>0</v>
      </c>
      <c r="AQ921" t="n">
        <v>0</v>
      </c>
      <c r="AR921" t="inlineStr">
        <is>
          <t>No</t>
        </is>
      </c>
      <c r="AS921" t="inlineStr">
        <is>
          <t>No</t>
        </is>
      </c>
      <c r="AU921">
        <f>HYPERLINK("https://creighton-primo.hosted.exlibrisgroup.com/primo-explore/search?tab=default_tab&amp;search_scope=EVERYTHING&amp;vid=01CRU&amp;lang=en_US&amp;offset=0&amp;query=any,contains,991000798009702656","Catalog Record")</f>
        <v/>
      </c>
      <c r="AV921">
        <f>HYPERLINK("http://www.worldcat.org/oclc/37443211","WorldCat Record")</f>
        <v/>
      </c>
      <c r="AW921" t="inlineStr">
        <is>
          <t>836991711:eng</t>
        </is>
      </c>
      <c r="AX921" t="inlineStr">
        <is>
          <t>37443211</t>
        </is>
      </c>
      <c r="AY921" t="inlineStr">
        <is>
          <t>991000798009702656</t>
        </is>
      </c>
      <c r="AZ921" t="inlineStr">
        <is>
          <t>991000798009702656</t>
        </is>
      </c>
      <c r="BA921" t="inlineStr">
        <is>
          <t>2262249250002656</t>
        </is>
      </c>
      <c r="BB921" t="inlineStr">
        <is>
          <t>BOOK</t>
        </is>
      </c>
      <c r="BD921" t="inlineStr">
        <is>
          <t>9780750631235</t>
        </is>
      </c>
      <c r="BE921" t="inlineStr">
        <is>
          <t>30001004080299</t>
        </is>
      </c>
      <c r="BF921" t="inlineStr">
        <is>
          <t>893540586</t>
        </is>
      </c>
    </row>
    <row r="922">
      <c r="A922" t="inlineStr">
        <is>
          <t>No</t>
        </is>
      </c>
      <c r="B922" t="inlineStr">
        <is>
          <t>CUHSL</t>
        </is>
      </c>
      <c r="C922" t="inlineStr">
        <is>
          <t>SHELVES</t>
        </is>
      </c>
      <c r="D922" t="inlineStr">
        <is>
          <t>W87 G297s 2001</t>
        </is>
      </c>
      <c r="E922" t="inlineStr">
        <is>
          <t>0                      W  0087000G  297s        2001</t>
        </is>
      </c>
      <c r="F922" t="inlineStr">
        <is>
          <t>7 strategies to improve your bottom line : the healthcare executive's guide / E. Preston Gee.</t>
        </is>
      </c>
      <c r="H922" t="inlineStr">
        <is>
          <t>No</t>
        </is>
      </c>
      <c r="I922" t="inlineStr">
        <is>
          <t>1</t>
        </is>
      </c>
      <c r="J922" t="inlineStr">
        <is>
          <t>No</t>
        </is>
      </c>
      <c r="K922" t="inlineStr">
        <is>
          <t>No</t>
        </is>
      </c>
      <c r="L922" t="inlineStr">
        <is>
          <t>1</t>
        </is>
      </c>
      <c r="M922" t="inlineStr">
        <is>
          <t>Gee, Erin Preston.</t>
        </is>
      </c>
      <c r="N922" t="inlineStr">
        <is>
          <t>Chicago, IL : Health Administration Press, c2001.</t>
        </is>
      </c>
      <c r="O922" t="inlineStr">
        <is>
          <t>2001</t>
        </is>
      </c>
      <c r="Q922" t="inlineStr">
        <is>
          <t>eng</t>
        </is>
      </c>
      <c r="R922" t="inlineStr">
        <is>
          <t>ilu</t>
        </is>
      </c>
      <c r="S922" t="inlineStr">
        <is>
          <t>ACHE management series</t>
        </is>
      </c>
      <c r="T922" t="inlineStr">
        <is>
          <t xml:space="preserve">W  </t>
        </is>
      </c>
      <c r="U922" t="n">
        <v>3</v>
      </c>
      <c r="V922" t="n">
        <v>3</v>
      </c>
      <c r="W922" t="inlineStr">
        <is>
          <t>2002-08-10</t>
        </is>
      </c>
      <c r="X922" t="inlineStr">
        <is>
          <t>2002-08-10</t>
        </is>
      </c>
      <c r="Y922" t="inlineStr">
        <is>
          <t>2002-02-22</t>
        </is>
      </c>
      <c r="Z922" t="inlineStr">
        <is>
          <t>2002-02-22</t>
        </is>
      </c>
      <c r="AA922" t="n">
        <v>60</v>
      </c>
      <c r="AB922" t="n">
        <v>55</v>
      </c>
      <c r="AC922" t="n">
        <v>1013</v>
      </c>
      <c r="AD922" t="n">
        <v>1</v>
      </c>
      <c r="AE922" t="n">
        <v>14</v>
      </c>
      <c r="AF922" t="n">
        <v>6</v>
      </c>
      <c r="AG922" t="n">
        <v>35</v>
      </c>
      <c r="AH922" t="n">
        <v>2</v>
      </c>
      <c r="AI922" t="n">
        <v>10</v>
      </c>
      <c r="AJ922" t="n">
        <v>2</v>
      </c>
      <c r="AK922" t="n">
        <v>7</v>
      </c>
      <c r="AL922" t="n">
        <v>4</v>
      </c>
      <c r="AM922" t="n">
        <v>11</v>
      </c>
      <c r="AN922" t="n">
        <v>0</v>
      </c>
      <c r="AO922" t="n">
        <v>12</v>
      </c>
      <c r="AP922" t="n">
        <v>0</v>
      </c>
      <c r="AQ922" t="n">
        <v>1</v>
      </c>
      <c r="AR922" t="inlineStr">
        <is>
          <t>No</t>
        </is>
      </c>
      <c r="AS922" t="inlineStr">
        <is>
          <t>Yes</t>
        </is>
      </c>
      <c r="AT922">
        <f>HYPERLINK("http://catalog.hathitrust.org/Record/004209902","HathiTrust Record")</f>
        <v/>
      </c>
      <c r="AU922">
        <f>HYPERLINK("https://creighton-primo.hosted.exlibrisgroup.com/primo-explore/search?tab=default_tab&amp;search_scope=EVERYTHING&amp;vid=01CRU&amp;lang=en_US&amp;offset=0&amp;query=any,contains,991000305919702656","Catalog Record")</f>
        <v/>
      </c>
      <c r="AV922">
        <f>HYPERLINK("http://www.worldcat.org/oclc/46822299","WorldCat Record")</f>
        <v/>
      </c>
      <c r="AW922" t="inlineStr">
        <is>
          <t>800160057:eng</t>
        </is>
      </c>
      <c r="AX922" t="inlineStr">
        <is>
          <t>46822299</t>
        </is>
      </c>
      <c r="AY922" t="inlineStr">
        <is>
          <t>991000305919702656</t>
        </is>
      </c>
      <c r="AZ922" t="inlineStr">
        <is>
          <t>991000305919702656</t>
        </is>
      </c>
      <c r="BA922" t="inlineStr">
        <is>
          <t>2260677220002656</t>
        </is>
      </c>
      <c r="BB922" t="inlineStr">
        <is>
          <t>BOOK</t>
        </is>
      </c>
      <c r="BD922" t="inlineStr">
        <is>
          <t>9781567931570</t>
        </is>
      </c>
      <c r="BE922" t="inlineStr">
        <is>
          <t>30001004236818</t>
        </is>
      </c>
      <c r="BF922" t="inlineStr">
        <is>
          <t>893269339</t>
        </is>
      </c>
    </row>
    <row r="923">
      <c r="A923" t="inlineStr">
        <is>
          <t>No</t>
        </is>
      </c>
      <c r="B923" t="inlineStr">
        <is>
          <t>CUHSL</t>
        </is>
      </c>
      <c r="C923" t="inlineStr">
        <is>
          <t>SHELVES</t>
        </is>
      </c>
      <c r="D923" t="inlineStr">
        <is>
          <t>W 87 H711f 1988</t>
        </is>
      </c>
      <c r="E923" t="inlineStr">
        <is>
          <t>0                      W  0087000H  711f        1988</t>
        </is>
      </c>
      <c r="F923" t="inlineStr">
        <is>
          <t>From residency to reality / Patricia A. Hoffmeir, Jean Astolfi Bohner.</t>
        </is>
      </c>
      <c r="H923" t="inlineStr">
        <is>
          <t>No</t>
        </is>
      </c>
      <c r="I923" t="inlineStr">
        <is>
          <t>1</t>
        </is>
      </c>
      <c r="J923" t="inlineStr">
        <is>
          <t>No</t>
        </is>
      </c>
      <c r="K923" t="inlineStr">
        <is>
          <t>No</t>
        </is>
      </c>
      <c r="L923" t="inlineStr">
        <is>
          <t>0</t>
        </is>
      </c>
      <c r="M923" t="inlineStr">
        <is>
          <t>Hoffmeir, Patricia A.</t>
        </is>
      </c>
      <c r="N923" t="inlineStr">
        <is>
          <t>New York : McGraw-Hill, c1988.</t>
        </is>
      </c>
      <c r="O923" t="inlineStr">
        <is>
          <t>1988</t>
        </is>
      </c>
      <c r="Q923" t="inlineStr">
        <is>
          <t>eng</t>
        </is>
      </c>
      <c r="R923" t="inlineStr">
        <is>
          <t>xxu</t>
        </is>
      </c>
      <c r="T923" t="inlineStr">
        <is>
          <t xml:space="preserve">W  </t>
        </is>
      </c>
      <c r="U923" t="n">
        <v>12</v>
      </c>
      <c r="V923" t="n">
        <v>12</v>
      </c>
      <c r="W923" t="inlineStr">
        <is>
          <t>1997-05-01</t>
        </is>
      </c>
      <c r="X923" t="inlineStr">
        <is>
          <t>1997-05-01</t>
        </is>
      </c>
      <c r="Y923" t="inlineStr">
        <is>
          <t>1988-08-18</t>
        </is>
      </c>
      <c r="Z923" t="inlineStr">
        <is>
          <t>1988-08-18</t>
        </is>
      </c>
      <c r="AA923" t="n">
        <v>89</v>
      </c>
      <c r="AB923" t="n">
        <v>83</v>
      </c>
      <c r="AC923" t="n">
        <v>85</v>
      </c>
      <c r="AD923" t="n">
        <v>1</v>
      </c>
      <c r="AE923" t="n">
        <v>1</v>
      </c>
      <c r="AF923" t="n">
        <v>1</v>
      </c>
      <c r="AG923" t="n">
        <v>1</v>
      </c>
      <c r="AH923" t="n">
        <v>0</v>
      </c>
      <c r="AI923" t="n">
        <v>0</v>
      </c>
      <c r="AJ923" t="n">
        <v>0</v>
      </c>
      <c r="AK923" t="n">
        <v>0</v>
      </c>
      <c r="AL923" t="n">
        <v>1</v>
      </c>
      <c r="AM923" t="n">
        <v>1</v>
      </c>
      <c r="AN923" t="n">
        <v>0</v>
      </c>
      <c r="AO923" t="n">
        <v>0</v>
      </c>
      <c r="AP923" t="n">
        <v>0</v>
      </c>
      <c r="AQ923" t="n">
        <v>0</v>
      </c>
      <c r="AR923" t="inlineStr">
        <is>
          <t>No</t>
        </is>
      </c>
      <c r="AS923" t="inlineStr">
        <is>
          <t>Yes</t>
        </is>
      </c>
      <c r="AT923">
        <f>HYPERLINK("http://catalog.hathitrust.org/Record/001103243","HathiTrust Record")</f>
        <v/>
      </c>
      <c r="AU923">
        <f>HYPERLINK("https://creighton-primo.hosted.exlibrisgroup.com/primo-explore/search?tab=default_tab&amp;search_scope=EVERYTHING&amp;vid=01CRU&amp;lang=en_US&amp;offset=0&amp;query=any,contains,991001421949702656","Catalog Record")</f>
        <v/>
      </c>
      <c r="AV923">
        <f>HYPERLINK("http://www.worldcat.org/oclc/16709378","WorldCat Record")</f>
        <v/>
      </c>
      <c r="AW923" t="inlineStr">
        <is>
          <t>13267176:eng</t>
        </is>
      </c>
      <c r="AX923" t="inlineStr">
        <is>
          <t>16709378</t>
        </is>
      </c>
      <c r="AY923" t="inlineStr">
        <is>
          <t>991001421949702656</t>
        </is>
      </c>
      <c r="AZ923" t="inlineStr">
        <is>
          <t>991001421949702656</t>
        </is>
      </c>
      <c r="BA923" t="inlineStr">
        <is>
          <t>2262030510002656</t>
        </is>
      </c>
      <c r="BB923" t="inlineStr">
        <is>
          <t>BOOK</t>
        </is>
      </c>
      <c r="BD923" t="inlineStr">
        <is>
          <t>9780070292123</t>
        </is>
      </c>
      <c r="BE923" t="inlineStr">
        <is>
          <t>30001001182551</t>
        </is>
      </c>
      <c r="BF923" t="inlineStr">
        <is>
          <t>893268486</t>
        </is>
      </c>
    </row>
    <row r="924">
      <c r="A924" t="inlineStr">
        <is>
          <t>No</t>
        </is>
      </c>
      <c r="B924" t="inlineStr">
        <is>
          <t>CUHSL</t>
        </is>
      </c>
      <c r="C924" t="inlineStr">
        <is>
          <t>SHELVES</t>
        </is>
      </c>
      <c r="D924" t="inlineStr">
        <is>
          <t>W 87 I61 1997</t>
        </is>
      </c>
      <c r="E924" t="inlineStr">
        <is>
          <t>0                      W  0087000I  61          1997</t>
        </is>
      </c>
      <c r="F924" t="inlineStr">
        <is>
          <t>Integrating the practice of medicine : a decision maker's guide to organizing and managing physician services / Ronald B. Conners, editor.</t>
        </is>
      </c>
      <c r="H924" t="inlineStr">
        <is>
          <t>No</t>
        </is>
      </c>
      <c r="I924" t="inlineStr">
        <is>
          <t>1</t>
        </is>
      </c>
      <c r="J924" t="inlineStr">
        <is>
          <t>No</t>
        </is>
      </c>
      <c r="K924" t="inlineStr">
        <is>
          <t>No</t>
        </is>
      </c>
      <c r="L924" t="inlineStr">
        <is>
          <t>0</t>
        </is>
      </c>
      <c r="N924" t="inlineStr">
        <is>
          <t>Chicago : American Hospital Pub., c1997.</t>
        </is>
      </c>
      <c r="O924" t="inlineStr">
        <is>
          <t>1997</t>
        </is>
      </c>
      <c r="Q924" t="inlineStr">
        <is>
          <t>eng</t>
        </is>
      </c>
      <c r="R924" t="inlineStr">
        <is>
          <t>ilu</t>
        </is>
      </c>
      <c r="T924" t="inlineStr">
        <is>
          <t xml:space="preserve">W  </t>
        </is>
      </c>
      <c r="U924" t="n">
        <v>1</v>
      </c>
      <c r="V924" t="n">
        <v>1</v>
      </c>
      <c r="W924" t="inlineStr">
        <is>
          <t>2008-06-17</t>
        </is>
      </c>
      <c r="X924" t="inlineStr">
        <is>
          <t>2008-06-17</t>
        </is>
      </c>
      <c r="Y924" t="inlineStr">
        <is>
          <t>2004-09-24</t>
        </is>
      </c>
      <c r="Z924" t="inlineStr">
        <is>
          <t>2004-09-24</t>
        </is>
      </c>
      <c r="AA924" t="n">
        <v>68</v>
      </c>
      <c r="AB924" t="n">
        <v>60</v>
      </c>
      <c r="AC924" t="n">
        <v>62</v>
      </c>
      <c r="AD924" t="n">
        <v>1</v>
      </c>
      <c r="AE924" t="n">
        <v>1</v>
      </c>
      <c r="AF924" t="n">
        <v>2</v>
      </c>
      <c r="AG924" t="n">
        <v>2</v>
      </c>
      <c r="AH924" t="n">
        <v>2</v>
      </c>
      <c r="AI924" t="n">
        <v>2</v>
      </c>
      <c r="AJ924" t="n">
        <v>0</v>
      </c>
      <c r="AK924" t="n">
        <v>0</v>
      </c>
      <c r="AL924" t="n">
        <v>2</v>
      </c>
      <c r="AM924" t="n">
        <v>2</v>
      </c>
      <c r="AN924" t="n">
        <v>0</v>
      </c>
      <c r="AO924" t="n">
        <v>0</v>
      </c>
      <c r="AP924" t="n">
        <v>0</v>
      </c>
      <c r="AQ924" t="n">
        <v>0</v>
      </c>
      <c r="AR924" t="inlineStr">
        <is>
          <t>No</t>
        </is>
      </c>
      <c r="AS924" t="inlineStr">
        <is>
          <t>Yes</t>
        </is>
      </c>
      <c r="AT924">
        <f>HYPERLINK("http://catalog.hathitrust.org/Record/003956197","HathiTrust Record")</f>
        <v/>
      </c>
      <c r="AU924">
        <f>HYPERLINK("https://creighton-primo.hosted.exlibrisgroup.com/primo-explore/search?tab=default_tab&amp;search_scope=EVERYTHING&amp;vid=01CRU&amp;lang=en_US&amp;offset=0&amp;query=any,contains,991000396949702656","Catalog Record")</f>
        <v/>
      </c>
      <c r="AV924">
        <f>HYPERLINK("http://www.worldcat.org/oclc/37031319","WorldCat Record")</f>
        <v/>
      </c>
      <c r="AW924" t="inlineStr">
        <is>
          <t>666842:eng</t>
        </is>
      </c>
      <c r="AX924" t="inlineStr">
        <is>
          <t>37031319</t>
        </is>
      </c>
      <c r="AY924" t="inlineStr">
        <is>
          <t>991000396949702656</t>
        </is>
      </c>
      <c r="AZ924" t="inlineStr">
        <is>
          <t>991000396949702656</t>
        </is>
      </c>
      <c r="BA924" t="inlineStr">
        <is>
          <t>2254893150002656</t>
        </is>
      </c>
      <c r="BB924" t="inlineStr">
        <is>
          <t>BOOK</t>
        </is>
      </c>
      <c r="BD924" t="inlineStr">
        <is>
          <t>9781556482069</t>
        </is>
      </c>
      <c r="BE924" t="inlineStr">
        <is>
          <t>30001004978963</t>
        </is>
      </c>
      <c r="BF924" t="inlineStr">
        <is>
          <t>893354274</t>
        </is>
      </c>
    </row>
    <row r="925">
      <c r="A925" t="inlineStr">
        <is>
          <t>No</t>
        </is>
      </c>
      <c r="B925" t="inlineStr">
        <is>
          <t>CUHSL</t>
        </is>
      </c>
      <c r="C925" t="inlineStr">
        <is>
          <t>SHELVES</t>
        </is>
      </c>
      <c r="D925" t="inlineStr">
        <is>
          <t>W88 B745a 2003</t>
        </is>
      </c>
      <c r="E925" t="inlineStr">
        <is>
          <t>0                      W  0088000B  745a        2003</t>
        </is>
      </c>
      <c r="F925" t="inlineStr">
        <is>
          <t>Academic scientists at work : navigating the biomedical research career / Jeremy M. Boss and Susan H. Eckert.</t>
        </is>
      </c>
      <c r="H925" t="inlineStr">
        <is>
          <t>No</t>
        </is>
      </c>
      <c r="I925" t="inlineStr">
        <is>
          <t>1</t>
        </is>
      </c>
      <c r="J925" t="inlineStr">
        <is>
          <t>No</t>
        </is>
      </c>
      <c r="K925" t="inlineStr">
        <is>
          <t>No</t>
        </is>
      </c>
      <c r="L925" t="inlineStr">
        <is>
          <t>0</t>
        </is>
      </c>
      <c r="M925" t="inlineStr">
        <is>
          <t>Boss, Jeremy M.</t>
        </is>
      </c>
      <c r="N925" t="inlineStr">
        <is>
          <t>New York : Kluwer Academic/Plenum Publishers, 2003.</t>
        </is>
      </c>
      <c r="O925" t="inlineStr">
        <is>
          <t>2003</t>
        </is>
      </c>
      <c r="Q925" t="inlineStr">
        <is>
          <t>eng</t>
        </is>
      </c>
      <c r="R925" t="inlineStr">
        <is>
          <t>nyu</t>
        </is>
      </c>
      <c r="T925" t="inlineStr">
        <is>
          <t xml:space="preserve">W  </t>
        </is>
      </c>
      <c r="U925" t="n">
        <v>2</v>
      </c>
      <c r="V925" t="n">
        <v>2</v>
      </c>
      <c r="W925" t="inlineStr">
        <is>
          <t>2006-06-11</t>
        </is>
      </c>
      <c r="X925" t="inlineStr">
        <is>
          <t>2006-06-11</t>
        </is>
      </c>
      <c r="Y925" t="inlineStr">
        <is>
          <t>2004-03-01</t>
        </is>
      </c>
      <c r="Z925" t="inlineStr">
        <is>
          <t>2004-03-01</t>
        </is>
      </c>
      <c r="AA925" t="n">
        <v>455</v>
      </c>
      <c r="AB925" t="n">
        <v>365</v>
      </c>
      <c r="AC925" t="n">
        <v>543</v>
      </c>
      <c r="AD925" t="n">
        <v>21</v>
      </c>
      <c r="AE925" t="n">
        <v>28</v>
      </c>
      <c r="AF925" t="n">
        <v>11</v>
      </c>
      <c r="AG925" t="n">
        <v>20</v>
      </c>
      <c r="AH925" t="n">
        <v>3</v>
      </c>
      <c r="AI925" t="n">
        <v>6</v>
      </c>
      <c r="AJ925" t="n">
        <v>1</v>
      </c>
      <c r="AK925" t="n">
        <v>1</v>
      </c>
      <c r="AL925" t="n">
        <v>5</v>
      </c>
      <c r="AM925" t="n">
        <v>5</v>
      </c>
      <c r="AN925" t="n">
        <v>3</v>
      </c>
      <c r="AO925" t="n">
        <v>9</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HYPERLINK("https://creighton-primo.hosted.exlibrisgroup.com/primo-explore/search?tab=default_tab&amp;search_scope=EVERYTHING&amp;vid=01CRU&amp;lang=en_US&amp;offset=0&amp;query=any,contains,991000367289702656","Catalog Record")</f>
        <v/>
      </c>
      <c r="AV925">
        <f>HYPERLINK("http://www.worldcat.org/oclc/55083077","WorldCat Record")</f>
        <v/>
      </c>
      <c r="AW925" t="inlineStr">
        <is>
          <t>793927820:eng</t>
        </is>
      </c>
      <c r="AX925" t="inlineStr">
        <is>
          <t>55083077</t>
        </is>
      </c>
      <c r="AY925" t="inlineStr">
        <is>
          <t>991000367289702656</t>
        </is>
      </c>
      <c r="AZ925" t="inlineStr">
        <is>
          <t>991000367289702656</t>
        </is>
      </c>
      <c r="BA925" t="inlineStr">
        <is>
          <t>2272380720002656</t>
        </is>
      </c>
      <c r="BB925" t="inlineStr">
        <is>
          <t>BOOK</t>
        </is>
      </c>
      <c r="BD925" t="inlineStr">
        <is>
          <t>9780306474934</t>
        </is>
      </c>
      <c r="BE925" t="inlineStr">
        <is>
          <t>30001004509669</t>
        </is>
      </c>
      <c r="BF925" t="inlineStr">
        <is>
          <t>893639125</t>
        </is>
      </c>
    </row>
    <row r="926">
      <c r="A926" t="inlineStr">
        <is>
          <t>No</t>
        </is>
      </c>
      <c r="B926" t="inlineStr">
        <is>
          <t>CUHSL</t>
        </is>
      </c>
      <c r="C926" t="inlineStr">
        <is>
          <t>SHELVES</t>
        </is>
      </c>
      <c r="D926" t="inlineStr">
        <is>
          <t>W 88 C512m 1999</t>
        </is>
      </c>
      <c r="E926" t="inlineStr">
        <is>
          <t>0                      W  0088000C  512m        1999</t>
        </is>
      </c>
      <c r="F926" t="inlineStr">
        <is>
          <t>The medical school dean : reflections &amp; directions / D. Kay Clawson, Emery A. Wilson</t>
        </is>
      </c>
      <c r="H926" t="inlineStr">
        <is>
          <t>No</t>
        </is>
      </c>
      <c r="I926" t="inlineStr">
        <is>
          <t>1</t>
        </is>
      </c>
      <c r="J926" t="inlineStr">
        <is>
          <t>No</t>
        </is>
      </c>
      <c r="K926" t="inlineStr">
        <is>
          <t>No</t>
        </is>
      </c>
      <c r="L926" t="inlineStr">
        <is>
          <t>0</t>
        </is>
      </c>
      <c r="M926" t="inlineStr">
        <is>
          <t>Clawson, D. Kay, 1927-2016.</t>
        </is>
      </c>
      <c r="N926" t="inlineStr">
        <is>
          <t>[Kuttawa, Ky] : McClanahan Publishing House, c1999.</t>
        </is>
      </c>
      <c r="O926" t="inlineStr">
        <is>
          <t>1999</t>
        </is>
      </c>
      <c r="Q926" t="inlineStr">
        <is>
          <t>eng</t>
        </is>
      </c>
      <c r="R926" t="inlineStr">
        <is>
          <t>kyu</t>
        </is>
      </c>
      <c r="T926" t="inlineStr">
        <is>
          <t xml:space="preserve">W  </t>
        </is>
      </c>
      <c r="U926" t="n">
        <v>4</v>
      </c>
      <c r="V926" t="n">
        <v>4</v>
      </c>
      <c r="W926" t="inlineStr">
        <is>
          <t>2008-05-03</t>
        </is>
      </c>
      <c r="X926" t="inlineStr">
        <is>
          <t>2008-05-03</t>
        </is>
      </c>
      <c r="Y926" t="inlineStr">
        <is>
          <t>1999-04-23</t>
        </is>
      </c>
      <c r="Z926" t="inlineStr">
        <is>
          <t>1999-04-23</t>
        </is>
      </c>
      <c r="AA926" t="n">
        <v>62</v>
      </c>
      <c r="AB926" t="n">
        <v>61</v>
      </c>
      <c r="AC926" t="n">
        <v>61</v>
      </c>
      <c r="AD926" t="n">
        <v>1</v>
      </c>
      <c r="AE926" t="n">
        <v>1</v>
      </c>
      <c r="AF926" t="n">
        <v>0</v>
      </c>
      <c r="AG926" t="n">
        <v>0</v>
      </c>
      <c r="AH926" t="n">
        <v>0</v>
      </c>
      <c r="AI926" t="n">
        <v>0</v>
      </c>
      <c r="AJ926" t="n">
        <v>0</v>
      </c>
      <c r="AK926" t="n">
        <v>0</v>
      </c>
      <c r="AL926" t="n">
        <v>0</v>
      </c>
      <c r="AM926" t="n">
        <v>0</v>
      </c>
      <c r="AN926" t="n">
        <v>0</v>
      </c>
      <c r="AO926" t="n">
        <v>0</v>
      </c>
      <c r="AP926" t="n">
        <v>0</v>
      </c>
      <c r="AQ926" t="n">
        <v>0</v>
      </c>
      <c r="AR926" t="inlineStr">
        <is>
          <t>No</t>
        </is>
      </c>
      <c r="AS926" t="inlineStr">
        <is>
          <t>No</t>
        </is>
      </c>
      <c r="AU926">
        <f>HYPERLINK("https://creighton-primo.hosted.exlibrisgroup.com/primo-explore/search?tab=default_tab&amp;search_scope=EVERYTHING&amp;vid=01CRU&amp;lang=en_US&amp;offset=0&amp;query=any,contains,991001550099702656","Catalog Record")</f>
        <v/>
      </c>
      <c r="AV926">
        <f>HYPERLINK("http://www.worldcat.org/oclc/41129204","WorldCat Record")</f>
        <v/>
      </c>
      <c r="AW926" t="inlineStr">
        <is>
          <t>27035365:eng</t>
        </is>
      </c>
      <c r="AX926" t="inlineStr">
        <is>
          <t>41129204</t>
        </is>
      </c>
      <c r="AY926" t="inlineStr">
        <is>
          <t>991001550099702656</t>
        </is>
      </c>
      <c r="AZ926" t="inlineStr">
        <is>
          <t>991001550099702656</t>
        </is>
      </c>
      <c r="BA926" t="inlineStr">
        <is>
          <t>2259190320002656</t>
        </is>
      </c>
      <c r="BB926" t="inlineStr">
        <is>
          <t>BOOK</t>
        </is>
      </c>
      <c r="BD926" t="inlineStr">
        <is>
          <t>9780913383636</t>
        </is>
      </c>
      <c r="BE926" t="inlineStr">
        <is>
          <t>30001004071702</t>
        </is>
      </c>
      <c r="BF926" t="inlineStr">
        <is>
          <t>893638438</t>
        </is>
      </c>
    </row>
    <row r="927">
      <c r="A927" t="inlineStr">
        <is>
          <t>No</t>
        </is>
      </c>
      <c r="B927" t="inlineStr">
        <is>
          <t>CUHSL</t>
        </is>
      </c>
      <c r="C927" t="inlineStr">
        <is>
          <t>SHELVES</t>
        </is>
      </c>
      <c r="D927" t="inlineStr">
        <is>
          <t>W 88 G54h 1995</t>
        </is>
      </c>
      <c r="E927" t="inlineStr">
        <is>
          <t>0                      W  0088000G  54h         1995</t>
        </is>
      </c>
      <c r="F927" t="inlineStr">
        <is>
          <t>How to select, orient, and support physician leaders : a guide for hospitals and managed care organizations / [Sandra Gill, Hugh P. Greeley].</t>
        </is>
      </c>
      <c r="H927" t="inlineStr">
        <is>
          <t>No</t>
        </is>
      </c>
      <c r="I927" t="inlineStr">
        <is>
          <t>1</t>
        </is>
      </c>
      <c r="J927" t="inlineStr">
        <is>
          <t>No</t>
        </is>
      </c>
      <c r="K927" t="inlineStr">
        <is>
          <t>No</t>
        </is>
      </c>
      <c r="L927" t="inlineStr">
        <is>
          <t>0</t>
        </is>
      </c>
      <c r="M927" t="inlineStr">
        <is>
          <t>Gill, Sandra L.</t>
        </is>
      </c>
      <c r="N927" t="inlineStr">
        <is>
          <t>Marblehead, MA : Opus Communications, c1995.</t>
        </is>
      </c>
      <c r="O927" t="inlineStr">
        <is>
          <t>1995</t>
        </is>
      </c>
      <c r="Q927" t="inlineStr">
        <is>
          <t>eng</t>
        </is>
      </c>
      <c r="R927" t="inlineStr">
        <is>
          <t>mau</t>
        </is>
      </c>
      <c r="T927" t="inlineStr">
        <is>
          <t xml:space="preserve">W  </t>
        </is>
      </c>
      <c r="U927" t="n">
        <v>0</v>
      </c>
      <c r="V927" t="n">
        <v>0</v>
      </c>
      <c r="W927" t="inlineStr">
        <is>
          <t>2004-09-24</t>
        </is>
      </c>
      <c r="X927" t="inlineStr">
        <is>
          <t>2004-09-24</t>
        </is>
      </c>
      <c r="Y927" t="inlineStr">
        <is>
          <t>2004-09-24</t>
        </is>
      </c>
      <c r="Z927" t="inlineStr">
        <is>
          <t>2004-09-24</t>
        </is>
      </c>
      <c r="AA927" t="n">
        <v>7</v>
      </c>
      <c r="AB927" t="n">
        <v>7</v>
      </c>
      <c r="AC927" t="n">
        <v>7</v>
      </c>
      <c r="AD927" t="n">
        <v>1</v>
      </c>
      <c r="AE927" t="n">
        <v>1</v>
      </c>
      <c r="AF927" t="n">
        <v>0</v>
      </c>
      <c r="AG927" t="n">
        <v>0</v>
      </c>
      <c r="AH927" t="n">
        <v>0</v>
      </c>
      <c r="AI927" t="n">
        <v>0</v>
      </c>
      <c r="AJ927" t="n">
        <v>0</v>
      </c>
      <c r="AK927" t="n">
        <v>0</v>
      </c>
      <c r="AL927" t="n">
        <v>0</v>
      </c>
      <c r="AM927" t="n">
        <v>0</v>
      </c>
      <c r="AN927" t="n">
        <v>0</v>
      </c>
      <c r="AO927" t="n">
        <v>0</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HYPERLINK("https://creighton-primo.hosted.exlibrisgroup.com/primo-explore/search?tab=default_tab&amp;search_scope=EVERYTHING&amp;vid=01CRU&amp;lang=en_US&amp;offset=0&amp;query=any,contains,991000396669702656","Catalog Record")</f>
        <v/>
      </c>
      <c r="AV927">
        <f>HYPERLINK("http://www.worldcat.org/oclc/33446331","WorldCat Record")</f>
        <v/>
      </c>
      <c r="AW927" t="inlineStr">
        <is>
          <t>38598658:eng</t>
        </is>
      </c>
      <c r="AX927" t="inlineStr">
        <is>
          <t>33446331</t>
        </is>
      </c>
      <c r="AY927" t="inlineStr">
        <is>
          <t>991000396669702656</t>
        </is>
      </c>
      <c r="AZ927" t="inlineStr">
        <is>
          <t>991000396669702656</t>
        </is>
      </c>
      <c r="BA927" t="inlineStr">
        <is>
          <t>2265539170002656</t>
        </is>
      </c>
      <c r="BB927" t="inlineStr">
        <is>
          <t>BOOK</t>
        </is>
      </c>
      <c r="BD927" t="inlineStr">
        <is>
          <t>9781885829184</t>
        </is>
      </c>
      <c r="BE927" t="inlineStr">
        <is>
          <t>30001004978930</t>
        </is>
      </c>
      <c r="BF927" t="inlineStr">
        <is>
          <t>893537145</t>
        </is>
      </c>
    </row>
    <row r="928">
      <c r="A928" t="inlineStr">
        <is>
          <t>No</t>
        </is>
      </c>
      <c r="B928" t="inlineStr">
        <is>
          <t>CUHSL</t>
        </is>
      </c>
      <c r="C928" t="inlineStr">
        <is>
          <t>SHELVES</t>
        </is>
      </c>
      <c r="D928" t="inlineStr">
        <is>
          <t>W 88 G626c 1981</t>
        </is>
      </c>
      <c r="E928" t="inlineStr">
        <is>
          <t>0                      W  0088000G  626c        1981</t>
        </is>
      </c>
      <c r="F928" t="inlineStr">
        <is>
          <t>Creative problem solving for health care professionals / Cecelia K. Golightly.</t>
        </is>
      </c>
      <c r="H928" t="inlineStr">
        <is>
          <t>No</t>
        </is>
      </c>
      <c r="I928" t="inlineStr">
        <is>
          <t>1</t>
        </is>
      </c>
      <c r="J928" t="inlineStr">
        <is>
          <t>No</t>
        </is>
      </c>
      <c r="K928" t="inlineStr">
        <is>
          <t>No</t>
        </is>
      </c>
      <c r="L928" t="inlineStr">
        <is>
          <t>0</t>
        </is>
      </c>
      <c r="M928" t="inlineStr">
        <is>
          <t>Golightly, Cecelia K.</t>
        </is>
      </c>
      <c r="N928" t="inlineStr">
        <is>
          <t>Rockville, Md. : Aspen Systems Corporation, c1981.</t>
        </is>
      </c>
      <c r="O928" t="inlineStr">
        <is>
          <t>1981</t>
        </is>
      </c>
      <c r="Q928" t="inlineStr">
        <is>
          <t>eng</t>
        </is>
      </c>
      <c r="R928" t="inlineStr">
        <is>
          <t>xxu</t>
        </is>
      </c>
      <c r="T928" t="inlineStr">
        <is>
          <t xml:space="preserve">W  </t>
        </is>
      </c>
      <c r="U928" t="n">
        <v>1</v>
      </c>
      <c r="V928" t="n">
        <v>1</v>
      </c>
      <c r="W928" t="inlineStr">
        <is>
          <t>2004-04-29</t>
        </is>
      </c>
      <c r="X928" t="inlineStr">
        <is>
          <t>2004-04-29</t>
        </is>
      </c>
      <c r="Y928" t="inlineStr">
        <is>
          <t>1987-12-22</t>
        </is>
      </c>
      <c r="Z928" t="inlineStr">
        <is>
          <t>1987-12-22</t>
        </is>
      </c>
      <c r="AA928" t="n">
        <v>193</v>
      </c>
      <c r="AB928" t="n">
        <v>174</v>
      </c>
      <c r="AC928" t="n">
        <v>176</v>
      </c>
      <c r="AD928" t="n">
        <v>1</v>
      </c>
      <c r="AE928" t="n">
        <v>1</v>
      </c>
      <c r="AF928" t="n">
        <v>5</v>
      </c>
      <c r="AG928" t="n">
        <v>5</v>
      </c>
      <c r="AH928" t="n">
        <v>1</v>
      </c>
      <c r="AI928" t="n">
        <v>1</v>
      </c>
      <c r="AJ928" t="n">
        <v>2</v>
      </c>
      <c r="AK928" t="n">
        <v>2</v>
      </c>
      <c r="AL928" t="n">
        <v>3</v>
      </c>
      <c r="AM928" t="n">
        <v>3</v>
      </c>
      <c r="AN928" t="n">
        <v>0</v>
      </c>
      <c r="AO928" t="n">
        <v>0</v>
      </c>
      <c r="AP928" t="n">
        <v>0</v>
      </c>
      <c r="AQ928" t="n">
        <v>0</v>
      </c>
      <c r="AR928" t="inlineStr">
        <is>
          <t>No</t>
        </is>
      </c>
      <c r="AS928" t="inlineStr">
        <is>
          <t>Yes</t>
        </is>
      </c>
      <c r="AT928">
        <f>HYPERLINK("http://catalog.hathitrust.org/Record/000763742","HathiTrust Record")</f>
        <v/>
      </c>
      <c r="AU928">
        <f>HYPERLINK("https://creighton-primo.hosted.exlibrisgroup.com/primo-explore/search?tab=default_tab&amp;search_scope=EVERYTHING&amp;vid=01CRU&amp;lang=en_US&amp;offset=0&amp;query=any,contains,991000660449702656","Catalog Record")</f>
        <v/>
      </c>
      <c r="AV928">
        <f>HYPERLINK("http://www.worldcat.org/oclc/7461052","WorldCat Record")</f>
        <v/>
      </c>
      <c r="AW928" t="inlineStr">
        <is>
          <t>551552:eng</t>
        </is>
      </c>
      <c r="AX928" t="inlineStr">
        <is>
          <t>7461052</t>
        </is>
      </c>
      <c r="AY928" t="inlineStr">
        <is>
          <t>991000660449702656</t>
        </is>
      </c>
      <c r="AZ928" t="inlineStr">
        <is>
          <t>991000660449702656</t>
        </is>
      </c>
      <c r="BA928" t="inlineStr">
        <is>
          <t>2263114240002656</t>
        </is>
      </c>
      <c r="BB928" t="inlineStr">
        <is>
          <t>BOOK</t>
        </is>
      </c>
      <c r="BD928" t="inlineStr">
        <is>
          <t>9780894433719</t>
        </is>
      </c>
      <c r="BE928" t="inlineStr">
        <is>
          <t>30001000688624</t>
        </is>
      </c>
      <c r="BF928" t="inlineStr">
        <is>
          <t>893283327</t>
        </is>
      </c>
    </row>
    <row r="929">
      <c r="A929" t="inlineStr">
        <is>
          <t>No</t>
        </is>
      </c>
      <c r="B929" t="inlineStr">
        <is>
          <t>CUHSL</t>
        </is>
      </c>
      <c r="C929" t="inlineStr">
        <is>
          <t>SHELVES</t>
        </is>
      </c>
      <c r="D929" t="inlineStr">
        <is>
          <t>W 88 H236 1981</t>
        </is>
      </c>
      <c r="E929" t="inlineStr">
        <is>
          <t>0                      W  0088000H  236         1981</t>
        </is>
      </c>
      <c r="F929" t="inlineStr">
        <is>
          <t>Handbook of health care human resources management / edited by Norman Metzger.</t>
        </is>
      </c>
      <c r="H929" t="inlineStr">
        <is>
          <t>No</t>
        </is>
      </c>
      <c r="I929" t="inlineStr">
        <is>
          <t>1</t>
        </is>
      </c>
      <c r="J929" t="inlineStr">
        <is>
          <t>No</t>
        </is>
      </c>
      <c r="K929" t="inlineStr">
        <is>
          <t>No</t>
        </is>
      </c>
      <c r="L929" t="inlineStr">
        <is>
          <t>0</t>
        </is>
      </c>
      <c r="N929" t="inlineStr">
        <is>
          <t>Rockville, Md. : Aspen Systems Corp., c1981.</t>
        </is>
      </c>
      <c r="O929" t="inlineStr">
        <is>
          <t>1981</t>
        </is>
      </c>
      <c r="Q929" t="inlineStr">
        <is>
          <t>eng</t>
        </is>
      </c>
      <c r="R929" t="inlineStr">
        <is>
          <t>mdu</t>
        </is>
      </c>
      <c r="T929" t="inlineStr">
        <is>
          <t xml:space="preserve">W  </t>
        </is>
      </c>
      <c r="U929" t="n">
        <v>2</v>
      </c>
      <c r="V929" t="n">
        <v>2</v>
      </c>
      <c r="W929" t="inlineStr">
        <is>
          <t>1995-04-18</t>
        </is>
      </c>
      <c r="X929" t="inlineStr">
        <is>
          <t>1995-04-18</t>
        </is>
      </c>
      <c r="Y929" t="inlineStr">
        <is>
          <t>1987-12-22</t>
        </is>
      </c>
      <c r="Z929" t="inlineStr">
        <is>
          <t>1987-12-22</t>
        </is>
      </c>
      <c r="AA929" t="n">
        <v>199</v>
      </c>
      <c r="AB929" t="n">
        <v>178</v>
      </c>
      <c r="AC929" t="n">
        <v>310</v>
      </c>
      <c r="AD929" t="n">
        <v>1</v>
      </c>
      <c r="AE929" t="n">
        <v>1</v>
      </c>
      <c r="AF929" t="n">
        <v>6</v>
      </c>
      <c r="AG929" t="n">
        <v>9</v>
      </c>
      <c r="AH929" t="n">
        <v>2</v>
      </c>
      <c r="AI929" t="n">
        <v>5</v>
      </c>
      <c r="AJ929" t="n">
        <v>0</v>
      </c>
      <c r="AK929" t="n">
        <v>0</v>
      </c>
      <c r="AL929" t="n">
        <v>5</v>
      </c>
      <c r="AM929" t="n">
        <v>7</v>
      </c>
      <c r="AN929" t="n">
        <v>0</v>
      </c>
      <c r="AO929" t="n">
        <v>0</v>
      </c>
      <c r="AP929" t="n">
        <v>1</v>
      </c>
      <c r="AQ929" t="n">
        <v>1</v>
      </c>
      <c r="AR929" t="inlineStr">
        <is>
          <t>No</t>
        </is>
      </c>
      <c r="AS929" t="inlineStr">
        <is>
          <t>No</t>
        </is>
      </c>
      <c r="AU929">
        <f>HYPERLINK("https://creighton-primo.hosted.exlibrisgroup.com/primo-explore/search?tab=default_tab&amp;search_scope=EVERYTHING&amp;vid=01CRU&amp;lang=en_US&amp;offset=0&amp;query=any,contains,991000660599702656","Catalog Record")</f>
        <v/>
      </c>
      <c r="AV929">
        <f>HYPERLINK("http://www.worldcat.org/oclc/7460546","WorldCat Record")</f>
        <v/>
      </c>
      <c r="AW929" t="inlineStr">
        <is>
          <t>54442837:eng</t>
        </is>
      </c>
      <c r="AX929" t="inlineStr">
        <is>
          <t>7460546</t>
        </is>
      </c>
      <c r="AY929" t="inlineStr">
        <is>
          <t>991000660599702656</t>
        </is>
      </c>
      <c r="AZ929" t="inlineStr">
        <is>
          <t>991000660599702656</t>
        </is>
      </c>
      <c r="BA929" t="inlineStr">
        <is>
          <t>2256453980002656</t>
        </is>
      </c>
      <c r="BB929" t="inlineStr">
        <is>
          <t>BOOK</t>
        </is>
      </c>
      <c r="BD929" t="inlineStr">
        <is>
          <t>9780894433634</t>
        </is>
      </c>
      <c r="BE929" t="inlineStr">
        <is>
          <t>30001000688632</t>
        </is>
      </c>
      <c r="BF929" t="inlineStr">
        <is>
          <t>893735251</t>
        </is>
      </c>
    </row>
    <row r="930">
      <c r="A930" t="inlineStr">
        <is>
          <t>No</t>
        </is>
      </c>
      <c r="B930" t="inlineStr">
        <is>
          <t>CUHSL</t>
        </is>
      </c>
      <c r="C930" t="inlineStr">
        <is>
          <t>SHELVES</t>
        </is>
      </c>
      <c r="D930" t="inlineStr">
        <is>
          <t>W 89 B192g 1978</t>
        </is>
      </c>
      <c r="E930" t="inlineStr">
        <is>
          <t>0                      W  0089000B  192g        1978</t>
        </is>
      </c>
      <c r="F930" t="inlineStr">
        <is>
          <t>Getting started in private practice / by Gene Balliett.</t>
        </is>
      </c>
      <c r="H930" t="inlineStr">
        <is>
          <t>No</t>
        </is>
      </c>
      <c r="I930" t="inlineStr">
        <is>
          <t>1</t>
        </is>
      </c>
      <c r="J930" t="inlineStr">
        <is>
          <t>No</t>
        </is>
      </c>
      <c r="K930" t="inlineStr">
        <is>
          <t>No</t>
        </is>
      </c>
      <c r="L930" t="inlineStr">
        <is>
          <t>0</t>
        </is>
      </c>
      <c r="M930" t="inlineStr">
        <is>
          <t>Balliett, Gene.</t>
        </is>
      </c>
      <c r="N930" t="inlineStr">
        <is>
          <t>Oradell, N.J. : Medical Economics Co., Book Division, 1979 printing, c1978.</t>
        </is>
      </c>
      <c r="O930" t="inlineStr">
        <is>
          <t>1978</t>
        </is>
      </c>
      <c r="Q930" t="inlineStr">
        <is>
          <t>eng</t>
        </is>
      </c>
      <c r="R930" t="inlineStr">
        <is>
          <t>nju</t>
        </is>
      </c>
      <c r="T930" t="inlineStr">
        <is>
          <t xml:space="preserve">W  </t>
        </is>
      </c>
      <c r="U930" t="n">
        <v>4</v>
      </c>
      <c r="V930" t="n">
        <v>4</v>
      </c>
      <c r="W930" t="inlineStr">
        <is>
          <t>2001-06-13</t>
        </is>
      </c>
      <c r="X930" t="inlineStr">
        <is>
          <t>2001-06-13</t>
        </is>
      </c>
      <c r="Y930" t="inlineStr">
        <is>
          <t>1988-01-05</t>
        </is>
      </c>
      <c r="Z930" t="inlineStr">
        <is>
          <t>1988-01-05</t>
        </is>
      </c>
      <c r="AA930" t="n">
        <v>85</v>
      </c>
      <c r="AB930" t="n">
        <v>80</v>
      </c>
      <c r="AC930" t="n">
        <v>82</v>
      </c>
      <c r="AD930" t="n">
        <v>1</v>
      </c>
      <c r="AE930" t="n">
        <v>1</v>
      </c>
      <c r="AF930" t="n">
        <v>1</v>
      </c>
      <c r="AG930" t="n">
        <v>1</v>
      </c>
      <c r="AH930" t="n">
        <v>0</v>
      </c>
      <c r="AI930" t="n">
        <v>0</v>
      </c>
      <c r="AJ930" t="n">
        <v>0</v>
      </c>
      <c r="AK930" t="n">
        <v>0</v>
      </c>
      <c r="AL930" t="n">
        <v>1</v>
      </c>
      <c r="AM930" t="n">
        <v>1</v>
      </c>
      <c r="AN930" t="n">
        <v>0</v>
      </c>
      <c r="AO930" t="n">
        <v>0</v>
      </c>
      <c r="AP930" t="n">
        <v>0</v>
      </c>
      <c r="AQ930" t="n">
        <v>0</v>
      </c>
      <c r="AR930" t="inlineStr">
        <is>
          <t>No</t>
        </is>
      </c>
      <c r="AS930" t="inlineStr">
        <is>
          <t>Yes</t>
        </is>
      </c>
      <c r="AT930">
        <f>HYPERLINK("http://catalog.hathitrust.org/Record/000299010","HathiTrust Record")</f>
        <v/>
      </c>
      <c r="AU930">
        <f>HYPERLINK("https://creighton-primo.hosted.exlibrisgroup.com/primo-explore/search?tab=default_tab&amp;search_scope=EVERYTHING&amp;vid=01CRU&amp;lang=en_US&amp;offset=0&amp;query=any,contains,991000174979702656","Catalog Record")</f>
        <v/>
      </c>
      <c r="AV930">
        <f>HYPERLINK("http://www.worldcat.org/oclc/4833946","WorldCat Record")</f>
        <v/>
      </c>
      <c r="AW930" t="inlineStr">
        <is>
          <t>15066629:eng</t>
        </is>
      </c>
      <c r="AX930" t="inlineStr">
        <is>
          <t>4833946</t>
        </is>
      </c>
      <c r="AY930" t="inlineStr">
        <is>
          <t>991000174979702656</t>
        </is>
      </c>
      <c r="AZ930" t="inlineStr">
        <is>
          <t>991000174979702656</t>
        </is>
      </c>
      <c r="BA930" t="inlineStr">
        <is>
          <t>2266729650002656</t>
        </is>
      </c>
      <c r="BB930" t="inlineStr">
        <is>
          <t>BOOK</t>
        </is>
      </c>
      <c r="BD930" t="inlineStr">
        <is>
          <t>9780874891348</t>
        </is>
      </c>
      <c r="BE930" t="inlineStr">
        <is>
          <t>30001000688657</t>
        </is>
      </c>
      <c r="BF930" t="inlineStr">
        <is>
          <t>893365223</t>
        </is>
      </c>
    </row>
    <row r="931">
      <c r="A931" t="inlineStr">
        <is>
          <t>No</t>
        </is>
      </c>
      <c r="B931" t="inlineStr">
        <is>
          <t>CUHSL</t>
        </is>
      </c>
      <c r="C931" t="inlineStr">
        <is>
          <t>SHELVES</t>
        </is>
      </c>
      <c r="D931" t="inlineStr">
        <is>
          <t>W 89 B398 1989</t>
        </is>
      </c>
      <c r="E931" t="inlineStr">
        <is>
          <t>0                      W  0089000B  398         1989</t>
        </is>
      </c>
      <c r="F931" t="inlineStr">
        <is>
          <t>Becoming a family physician / Marilyn Little, John E. Midtling, editors.</t>
        </is>
      </c>
      <c r="H931" t="inlineStr">
        <is>
          <t>No</t>
        </is>
      </c>
      <c r="I931" t="inlineStr">
        <is>
          <t>1</t>
        </is>
      </c>
      <c r="J931" t="inlineStr">
        <is>
          <t>No</t>
        </is>
      </c>
      <c r="K931" t="inlineStr">
        <is>
          <t>No</t>
        </is>
      </c>
      <c r="L931" t="inlineStr">
        <is>
          <t>0</t>
        </is>
      </c>
      <c r="N931" t="inlineStr">
        <is>
          <t>New York : Springer-Verlag, c1989.</t>
        </is>
      </c>
      <c r="O931" t="inlineStr">
        <is>
          <t>1989</t>
        </is>
      </c>
      <c r="Q931" t="inlineStr">
        <is>
          <t>eng</t>
        </is>
      </c>
      <c r="R931" t="inlineStr">
        <is>
          <t>xxu</t>
        </is>
      </c>
      <c r="T931" t="inlineStr">
        <is>
          <t xml:space="preserve">W  </t>
        </is>
      </c>
      <c r="U931" t="n">
        <v>10</v>
      </c>
      <c r="V931" t="n">
        <v>10</v>
      </c>
      <c r="W931" t="inlineStr">
        <is>
          <t>1994-02-16</t>
        </is>
      </c>
      <c r="X931" t="inlineStr">
        <is>
          <t>1994-02-16</t>
        </is>
      </c>
      <c r="Y931" t="inlineStr">
        <is>
          <t>1990-09-12</t>
        </is>
      </c>
      <c r="Z931" t="inlineStr">
        <is>
          <t>1990-09-12</t>
        </is>
      </c>
      <c r="AA931" t="n">
        <v>89</v>
      </c>
      <c r="AB931" t="n">
        <v>69</v>
      </c>
      <c r="AC931" t="n">
        <v>92</v>
      </c>
      <c r="AD931" t="n">
        <v>1</v>
      </c>
      <c r="AE931" t="n">
        <v>1</v>
      </c>
      <c r="AF931" t="n">
        <v>1</v>
      </c>
      <c r="AG931" t="n">
        <v>1</v>
      </c>
      <c r="AH931" t="n">
        <v>0</v>
      </c>
      <c r="AI931" t="n">
        <v>0</v>
      </c>
      <c r="AJ931" t="n">
        <v>0</v>
      </c>
      <c r="AK931" t="n">
        <v>0</v>
      </c>
      <c r="AL931" t="n">
        <v>1</v>
      </c>
      <c r="AM931" t="n">
        <v>1</v>
      </c>
      <c r="AN931" t="n">
        <v>0</v>
      </c>
      <c r="AO931" t="n">
        <v>0</v>
      </c>
      <c r="AP931" t="n">
        <v>0</v>
      </c>
      <c r="AQ931" t="n">
        <v>0</v>
      </c>
      <c r="AR931" t="inlineStr">
        <is>
          <t>No</t>
        </is>
      </c>
      <c r="AS931" t="inlineStr">
        <is>
          <t>Yes</t>
        </is>
      </c>
      <c r="AT931">
        <f>HYPERLINK("http://catalog.hathitrust.org/Record/001823956","HathiTrust Record")</f>
        <v/>
      </c>
      <c r="AU931">
        <f>HYPERLINK("https://creighton-primo.hosted.exlibrisgroup.com/primo-explore/search?tab=default_tab&amp;search_scope=EVERYTHING&amp;vid=01CRU&amp;lang=en_US&amp;offset=0&amp;query=any,contains,991000761019702656","Catalog Record")</f>
        <v/>
      </c>
      <c r="AV931">
        <f>HYPERLINK("http://www.worldcat.org/oclc/19324675","WorldCat Record")</f>
        <v/>
      </c>
      <c r="AW931" t="inlineStr">
        <is>
          <t>427252529:eng</t>
        </is>
      </c>
      <c r="AX931" t="inlineStr">
        <is>
          <t>19324675</t>
        </is>
      </c>
      <c r="AY931" t="inlineStr">
        <is>
          <t>991000761019702656</t>
        </is>
      </c>
      <c r="AZ931" t="inlineStr">
        <is>
          <t>991000761019702656</t>
        </is>
      </c>
      <c r="BA931" t="inlineStr">
        <is>
          <t>2265101100002656</t>
        </is>
      </c>
      <c r="BB931" t="inlineStr">
        <is>
          <t>BOOK</t>
        </is>
      </c>
      <c r="BD931" t="inlineStr">
        <is>
          <t>9780387969497</t>
        </is>
      </c>
      <c r="BE931" t="inlineStr">
        <is>
          <t>30001002060178</t>
        </is>
      </c>
      <c r="BF931" t="inlineStr">
        <is>
          <t>893362997</t>
        </is>
      </c>
    </row>
    <row r="932">
      <c r="A932" t="inlineStr">
        <is>
          <t>No</t>
        </is>
      </c>
      <c r="B932" t="inlineStr">
        <is>
          <t>CUHSL</t>
        </is>
      </c>
      <c r="C932" t="inlineStr">
        <is>
          <t>SHELVES</t>
        </is>
      </c>
      <c r="D932" t="inlineStr">
        <is>
          <t>W 89 D294 1983</t>
        </is>
      </c>
      <c r="E932" t="inlineStr">
        <is>
          <t>0                      W  0089000D  294         1983</t>
        </is>
      </c>
      <c r="F932" t="inlineStr">
        <is>
          <t>Decision-making in general practice / edited by Michael Sheldon, John Brooke, and Alan Rector.</t>
        </is>
      </c>
      <c r="H932" t="inlineStr">
        <is>
          <t>No</t>
        </is>
      </c>
      <c r="I932" t="inlineStr">
        <is>
          <t>1</t>
        </is>
      </c>
      <c r="J932" t="inlineStr">
        <is>
          <t>No</t>
        </is>
      </c>
      <c r="K932" t="inlineStr">
        <is>
          <t>No</t>
        </is>
      </c>
      <c r="L932" t="inlineStr">
        <is>
          <t>0</t>
        </is>
      </c>
      <c r="N932" t="inlineStr">
        <is>
          <t>Houndmills, Basingstoke, Hampshire : Macmillan ; New York, NY : Stockton Press, c1985.</t>
        </is>
      </c>
      <c r="O932" t="inlineStr">
        <is>
          <t>1985</t>
        </is>
      </c>
      <c r="Q932" t="inlineStr">
        <is>
          <t>eng</t>
        </is>
      </c>
      <c r="R932" t="inlineStr">
        <is>
          <t>enk</t>
        </is>
      </c>
      <c r="T932" t="inlineStr">
        <is>
          <t xml:space="preserve">W  </t>
        </is>
      </c>
      <c r="U932" t="n">
        <v>5</v>
      </c>
      <c r="V932" t="n">
        <v>5</v>
      </c>
      <c r="W932" t="inlineStr">
        <is>
          <t>1992-07-09</t>
        </is>
      </c>
      <c r="X932" t="inlineStr">
        <is>
          <t>1992-07-09</t>
        </is>
      </c>
      <c r="Y932" t="inlineStr">
        <is>
          <t>1988-06-01</t>
        </is>
      </c>
      <c r="Z932" t="inlineStr">
        <is>
          <t>1988-06-01</t>
        </is>
      </c>
      <c r="AA932" t="n">
        <v>82</v>
      </c>
      <c r="AB932" t="n">
        <v>42</v>
      </c>
      <c r="AC932" t="n">
        <v>61</v>
      </c>
      <c r="AD932" t="n">
        <v>1</v>
      </c>
      <c r="AE932" t="n">
        <v>1</v>
      </c>
      <c r="AF932" t="n">
        <v>0</v>
      </c>
      <c r="AG932" t="n">
        <v>0</v>
      </c>
      <c r="AH932" t="n">
        <v>0</v>
      </c>
      <c r="AI932" t="n">
        <v>0</v>
      </c>
      <c r="AJ932" t="n">
        <v>0</v>
      </c>
      <c r="AK932" t="n">
        <v>0</v>
      </c>
      <c r="AL932" t="n">
        <v>0</v>
      </c>
      <c r="AM932" t="n">
        <v>0</v>
      </c>
      <c r="AN932" t="n">
        <v>0</v>
      </c>
      <c r="AO932" t="n">
        <v>0</v>
      </c>
      <c r="AP932" t="n">
        <v>0</v>
      </c>
      <c r="AQ932" t="n">
        <v>0</v>
      </c>
      <c r="AR932" t="inlineStr">
        <is>
          <t>No</t>
        </is>
      </c>
      <c r="AS932" t="inlineStr">
        <is>
          <t>Yes</t>
        </is>
      </c>
      <c r="AT932">
        <f>HYPERLINK("http://catalog.hathitrust.org/Record/000579700","HathiTrust Record")</f>
        <v/>
      </c>
      <c r="AU932">
        <f>HYPERLINK("https://creighton-primo.hosted.exlibrisgroup.com/primo-explore/search?tab=default_tab&amp;search_scope=EVERYTHING&amp;vid=01CRU&amp;lang=en_US&amp;offset=0&amp;query=any,contains,991001414799702656","Catalog Record")</f>
        <v/>
      </c>
      <c r="AV932">
        <f>HYPERLINK("http://www.worldcat.org/oclc/12082179","WorldCat Record")</f>
        <v/>
      </c>
      <c r="AW932" t="inlineStr">
        <is>
          <t>429879413:eng</t>
        </is>
      </c>
      <c r="AX932" t="inlineStr">
        <is>
          <t>12082179</t>
        </is>
      </c>
      <c r="AY932" t="inlineStr">
        <is>
          <t>991001414799702656</t>
        </is>
      </c>
      <c r="AZ932" t="inlineStr">
        <is>
          <t>991001414799702656</t>
        </is>
      </c>
      <c r="BA932" t="inlineStr">
        <is>
          <t>2264557810002656</t>
        </is>
      </c>
      <c r="BB932" t="inlineStr">
        <is>
          <t>BOOK</t>
        </is>
      </c>
      <c r="BD932" t="inlineStr">
        <is>
          <t>9780943818115</t>
        </is>
      </c>
      <c r="BE932" t="inlineStr">
        <is>
          <t>30001001180167</t>
        </is>
      </c>
      <c r="BF932" t="inlineStr">
        <is>
          <t>893552488</t>
        </is>
      </c>
    </row>
    <row r="933">
      <c r="A933" t="inlineStr">
        <is>
          <t>No</t>
        </is>
      </c>
      <c r="B933" t="inlineStr">
        <is>
          <t>CUHSL</t>
        </is>
      </c>
      <c r="C933" t="inlineStr">
        <is>
          <t>SHELVES</t>
        </is>
      </c>
      <c r="D933" t="inlineStr">
        <is>
          <t>W 89 F212 1990</t>
        </is>
      </c>
      <c r="E933" t="inlineStr">
        <is>
          <t>0                      W  0089000F  212         1990</t>
        </is>
      </c>
      <c r="F933" t="inlineStr">
        <is>
          <t>Family medicine : a systematic approach to the planning and development of a community practice.</t>
        </is>
      </c>
      <c r="H933" t="inlineStr">
        <is>
          <t>No</t>
        </is>
      </c>
      <c r="I933" t="inlineStr">
        <is>
          <t>1</t>
        </is>
      </c>
      <c r="J933" t="inlineStr">
        <is>
          <t>No</t>
        </is>
      </c>
      <c r="K933" t="inlineStr">
        <is>
          <t>No</t>
        </is>
      </c>
      <c r="L933" t="inlineStr">
        <is>
          <t>0</t>
        </is>
      </c>
      <c r="N933" t="inlineStr">
        <is>
          <t>[Oklahoma City?] : University of Oklahoma Health Sciences Center, 1990.</t>
        </is>
      </c>
      <c r="O933" t="inlineStr">
        <is>
          <t>1990</t>
        </is>
      </c>
      <c r="Q933" t="inlineStr">
        <is>
          <t>eng</t>
        </is>
      </c>
      <c r="R933" t="inlineStr">
        <is>
          <t>oku</t>
        </is>
      </c>
      <c r="T933" t="inlineStr">
        <is>
          <t xml:space="preserve">W  </t>
        </is>
      </c>
      <c r="U933" t="n">
        <v>4</v>
      </c>
      <c r="V933" t="n">
        <v>4</v>
      </c>
      <c r="W933" t="inlineStr">
        <is>
          <t>1991-06-27</t>
        </is>
      </c>
      <c r="X933" t="inlineStr">
        <is>
          <t>1991-06-27</t>
        </is>
      </c>
      <c r="Y933" t="inlineStr">
        <is>
          <t>1991-06-27</t>
        </is>
      </c>
      <c r="Z933" t="inlineStr">
        <is>
          <t>1991-06-27</t>
        </is>
      </c>
      <c r="AA933" t="n">
        <v>50</v>
      </c>
      <c r="AB933" t="n">
        <v>50</v>
      </c>
      <c r="AC933" t="n">
        <v>50</v>
      </c>
      <c r="AD933" t="n">
        <v>1</v>
      </c>
      <c r="AE933" t="n">
        <v>1</v>
      </c>
      <c r="AF933" t="n">
        <v>1</v>
      </c>
      <c r="AG933" t="n">
        <v>1</v>
      </c>
      <c r="AH933" t="n">
        <v>0</v>
      </c>
      <c r="AI933" t="n">
        <v>0</v>
      </c>
      <c r="AJ933" t="n">
        <v>0</v>
      </c>
      <c r="AK933" t="n">
        <v>0</v>
      </c>
      <c r="AL933" t="n">
        <v>1</v>
      </c>
      <c r="AM933" t="n">
        <v>1</v>
      </c>
      <c r="AN933" t="n">
        <v>0</v>
      </c>
      <c r="AO933" t="n">
        <v>0</v>
      </c>
      <c r="AP933" t="n">
        <v>0</v>
      </c>
      <c r="AQ933" t="n">
        <v>0</v>
      </c>
      <c r="AR933" t="inlineStr">
        <is>
          <t>No</t>
        </is>
      </c>
      <c r="AS933" t="inlineStr">
        <is>
          <t>No</t>
        </is>
      </c>
      <c r="AU933">
        <f>HYPERLINK("https://creighton-primo.hosted.exlibrisgroup.com/primo-explore/search?tab=default_tab&amp;search_scope=EVERYTHING&amp;vid=01CRU&amp;lang=en_US&amp;offset=0&amp;query=any,contains,991000940999702656","Catalog Record")</f>
        <v/>
      </c>
      <c r="AV933">
        <f>HYPERLINK("http://www.worldcat.org/oclc/24023518","WorldCat Record")</f>
        <v/>
      </c>
      <c r="AW933" t="inlineStr">
        <is>
          <t>25219637:eng</t>
        </is>
      </c>
      <c r="AX933" t="inlineStr">
        <is>
          <t>24023518</t>
        </is>
      </c>
      <c r="AY933" t="inlineStr">
        <is>
          <t>991000940999702656</t>
        </is>
      </c>
      <c r="AZ933" t="inlineStr">
        <is>
          <t>991000940999702656</t>
        </is>
      </c>
      <c r="BA933" t="inlineStr">
        <is>
          <t>2267577040002656</t>
        </is>
      </c>
      <c r="BB933" t="inlineStr">
        <is>
          <t>BOOK</t>
        </is>
      </c>
      <c r="BD933" t="inlineStr">
        <is>
          <t>9780962890703</t>
        </is>
      </c>
      <c r="BE933" t="inlineStr">
        <is>
          <t>30001002192609</t>
        </is>
      </c>
      <c r="BF933" t="inlineStr">
        <is>
          <t>893377004</t>
        </is>
      </c>
    </row>
    <row r="934">
      <c r="A934" t="inlineStr">
        <is>
          <t>No</t>
        </is>
      </c>
      <c r="B934" t="inlineStr">
        <is>
          <t>CUHSL</t>
        </is>
      </c>
      <c r="C934" t="inlineStr">
        <is>
          <t>SHELVES</t>
        </is>
      </c>
      <c r="D934" t="inlineStr">
        <is>
          <t>W 89 G3261 1998</t>
        </is>
      </c>
      <c r="E934" t="inlineStr">
        <is>
          <t>0                      W  0089000G  3261        1998</t>
        </is>
      </c>
      <c r="F934" t="inlineStr">
        <is>
          <t>Assessment tool : designed for medical school administrators and students wanting to assess the minority education environment at their institution.</t>
        </is>
      </c>
      <c r="H934" t="inlineStr">
        <is>
          <t>No</t>
        </is>
      </c>
      <c r="I934" t="inlineStr">
        <is>
          <t>1</t>
        </is>
      </c>
      <c r="J934" t="inlineStr">
        <is>
          <t>No</t>
        </is>
      </c>
      <c r="K934" t="inlineStr">
        <is>
          <t>No</t>
        </is>
      </c>
      <c r="L934" t="inlineStr">
        <is>
          <t>0</t>
        </is>
      </c>
      <c r="N934" t="inlineStr">
        <is>
          <t>Reston, Va. : Designed by the American Medical Student Association/Foundation, [1998?]</t>
        </is>
      </c>
      <c r="O934" t="inlineStr">
        <is>
          <t>1998</t>
        </is>
      </c>
      <c r="Q934" t="inlineStr">
        <is>
          <t>eng</t>
        </is>
      </c>
      <c r="R934" t="inlineStr">
        <is>
          <t>vau</t>
        </is>
      </c>
      <c r="T934" t="inlineStr">
        <is>
          <t xml:space="preserve">W  </t>
        </is>
      </c>
      <c r="U934" t="n">
        <v>0</v>
      </c>
      <c r="V934" t="n">
        <v>0</v>
      </c>
      <c r="W934" t="inlineStr">
        <is>
          <t>2005-06-09</t>
        </is>
      </c>
      <c r="X934" t="inlineStr">
        <is>
          <t>2005-06-09</t>
        </is>
      </c>
      <c r="Y934" t="inlineStr">
        <is>
          <t>2000-06-15</t>
        </is>
      </c>
      <c r="Z934" t="inlineStr">
        <is>
          <t>2000-06-15</t>
        </is>
      </c>
      <c r="AA934" t="n">
        <v>7</v>
      </c>
      <c r="AB934" t="n">
        <v>7</v>
      </c>
      <c r="AC934" t="n">
        <v>9</v>
      </c>
      <c r="AD934" t="n">
        <v>1</v>
      </c>
      <c r="AE934" t="n">
        <v>1</v>
      </c>
      <c r="AF934" t="n">
        <v>0</v>
      </c>
      <c r="AG934" t="n">
        <v>0</v>
      </c>
      <c r="AH934" t="n">
        <v>0</v>
      </c>
      <c r="AI934" t="n">
        <v>0</v>
      </c>
      <c r="AJ934" t="n">
        <v>0</v>
      </c>
      <c r="AK934" t="n">
        <v>0</v>
      </c>
      <c r="AL934" t="n">
        <v>0</v>
      </c>
      <c r="AM934" t="n">
        <v>0</v>
      </c>
      <c r="AN934" t="n">
        <v>0</v>
      </c>
      <c r="AO934" t="n">
        <v>0</v>
      </c>
      <c r="AP934" t="n">
        <v>0</v>
      </c>
      <c r="AQ934" t="n">
        <v>0</v>
      </c>
      <c r="AR934" t="inlineStr">
        <is>
          <t>No</t>
        </is>
      </c>
      <c r="AS934" t="inlineStr">
        <is>
          <t>Yes</t>
        </is>
      </c>
      <c r="AT934">
        <f>HYPERLINK("http://catalog.hathitrust.org/Record/010378872","HathiTrust Record")</f>
        <v/>
      </c>
      <c r="AU934">
        <f>HYPERLINK("https://creighton-primo.hosted.exlibrisgroup.com/primo-explore/search?tab=default_tab&amp;search_scope=EVERYTHING&amp;vid=01CRU&amp;lang=en_US&amp;offset=0&amp;query=any,contains,991000271829702656","Catalog Record")</f>
        <v/>
      </c>
      <c r="AV934">
        <f>HYPERLINK("http://www.worldcat.org/oclc/40456587","WorldCat Record")</f>
        <v/>
      </c>
      <c r="AW934" t="inlineStr">
        <is>
          <t>23569112:eng</t>
        </is>
      </c>
      <c r="AX934" t="inlineStr">
        <is>
          <t>40456587</t>
        </is>
      </c>
      <c r="AY934" t="inlineStr">
        <is>
          <t>991000271829702656</t>
        </is>
      </c>
      <c r="AZ934" t="inlineStr">
        <is>
          <t>991000271829702656</t>
        </is>
      </c>
      <c r="BA934" t="inlineStr">
        <is>
          <t>2270996260002656</t>
        </is>
      </c>
      <c r="BB934" t="inlineStr">
        <is>
          <t>BOOK</t>
        </is>
      </c>
      <c r="BE934" t="inlineStr">
        <is>
          <t>30001003793348</t>
        </is>
      </c>
      <c r="BF934" t="inlineStr">
        <is>
          <t>893536930</t>
        </is>
      </c>
    </row>
    <row r="935">
      <c r="A935" t="inlineStr">
        <is>
          <t>No</t>
        </is>
      </c>
      <c r="B935" t="inlineStr">
        <is>
          <t>CUHSL</t>
        </is>
      </c>
      <c r="C935" t="inlineStr">
        <is>
          <t>SHELVES</t>
        </is>
      </c>
      <c r="D935" t="inlineStr">
        <is>
          <t>W 89 G397f 1985</t>
        </is>
      </c>
      <c r="E935" t="inlineStr">
        <is>
          <t>0                      W  0089000G  397f        1985</t>
        </is>
      </c>
      <c r="F935" t="inlineStr">
        <is>
          <t>Family practice : foundations of changing health care / John P. Geyman.</t>
        </is>
      </c>
      <c r="H935" t="inlineStr">
        <is>
          <t>No</t>
        </is>
      </c>
      <c r="I935" t="inlineStr">
        <is>
          <t>1</t>
        </is>
      </c>
      <c r="J935" t="inlineStr">
        <is>
          <t>No</t>
        </is>
      </c>
      <c r="K935" t="inlineStr">
        <is>
          <t>No</t>
        </is>
      </c>
      <c r="L935" t="inlineStr">
        <is>
          <t>0</t>
        </is>
      </c>
      <c r="M935" t="inlineStr">
        <is>
          <t>Geyman, John P., 1931-</t>
        </is>
      </c>
      <c r="N935" t="inlineStr">
        <is>
          <t>Norwalk, Conn. : Appleton-Century-Crofts, c1985.</t>
        </is>
      </c>
      <c r="O935" t="inlineStr">
        <is>
          <t>1985</t>
        </is>
      </c>
      <c r="P935" t="inlineStr">
        <is>
          <t>2nd ed.</t>
        </is>
      </c>
      <c r="Q935" t="inlineStr">
        <is>
          <t>eng</t>
        </is>
      </c>
      <c r="R935" t="inlineStr">
        <is>
          <t>xxu</t>
        </is>
      </c>
      <c r="T935" t="inlineStr">
        <is>
          <t xml:space="preserve">W  </t>
        </is>
      </c>
      <c r="U935" t="n">
        <v>8</v>
      </c>
      <c r="V935" t="n">
        <v>8</v>
      </c>
      <c r="W935" t="inlineStr">
        <is>
          <t>1993-07-21</t>
        </is>
      </c>
      <c r="X935" t="inlineStr">
        <is>
          <t>1993-07-21</t>
        </is>
      </c>
      <c r="Y935" t="inlineStr">
        <is>
          <t>1988-01-05</t>
        </is>
      </c>
      <c r="Z935" t="inlineStr">
        <is>
          <t>1988-01-05</t>
        </is>
      </c>
      <c r="AA935" t="n">
        <v>108</v>
      </c>
      <c r="AB935" t="n">
        <v>90</v>
      </c>
      <c r="AC935" t="n">
        <v>135</v>
      </c>
      <c r="AD935" t="n">
        <v>1</v>
      </c>
      <c r="AE935" t="n">
        <v>1</v>
      </c>
      <c r="AF935" t="n">
        <v>2</v>
      </c>
      <c r="AG935" t="n">
        <v>2</v>
      </c>
      <c r="AH935" t="n">
        <v>0</v>
      </c>
      <c r="AI935" t="n">
        <v>0</v>
      </c>
      <c r="AJ935" t="n">
        <v>1</v>
      </c>
      <c r="AK935" t="n">
        <v>1</v>
      </c>
      <c r="AL935" t="n">
        <v>1</v>
      </c>
      <c r="AM935" t="n">
        <v>1</v>
      </c>
      <c r="AN935" t="n">
        <v>0</v>
      </c>
      <c r="AO935" t="n">
        <v>0</v>
      </c>
      <c r="AP935" t="n">
        <v>0</v>
      </c>
      <c r="AQ935" t="n">
        <v>0</v>
      </c>
      <c r="AR935" t="inlineStr">
        <is>
          <t>No</t>
        </is>
      </c>
      <c r="AS935" t="inlineStr">
        <is>
          <t>Yes</t>
        </is>
      </c>
      <c r="AT935">
        <f>HYPERLINK("http://catalog.hathitrust.org/Record/000376415","HathiTrust Record")</f>
        <v/>
      </c>
      <c r="AU935">
        <f>HYPERLINK("https://creighton-primo.hosted.exlibrisgroup.com/primo-explore/search?tab=default_tab&amp;search_scope=EVERYTHING&amp;vid=01CRU&amp;lang=en_US&amp;offset=0&amp;query=any,contains,991000660829702656","Catalog Record")</f>
        <v/>
      </c>
      <c r="AV935">
        <f>HYPERLINK("http://www.worldcat.org/oclc/12215043","WorldCat Record")</f>
        <v/>
      </c>
      <c r="AW935" t="inlineStr">
        <is>
          <t>4934880:eng</t>
        </is>
      </c>
      <c r="AX935" t="inlineStr">
        <is>
          <t>12215043</t>
        </is>
      </c>
      <c r="AY935" t="inlineStr">
        <is>
          <t>991000660829702656</t>
        </is>
      </c>
      <c r="AZ935" t="inlineStr">
        <is>
          <t>991000660829702656</t>
        </is>
      </c>
      <c r="BA935" t="inlineStr">
        <is>
          <t>2268556510002656</t>
        </is>
      </c>
      <c r="BB935" t="inlineStr">
        <is>
          <t>BOOK</t>
        </is>
      </c>
      <c r="BD935" t="inlineStr">
        <is>
          <t>9780838525388</t>
        </is>
      </c>
      <c r="BE935" t="inlineStr">
        <is>
          <t>30001000688715</t>
        </is>
      </c>
      <c r="BF935" t="inlineStr">
        <is>
          <t>893133185</t>
        </is>
      </c>
    </row>
    <row r="936">
      <c r="A936" t="inlineStr">
        <is>
          <t>No</t>
        </is>
      </c>
      <c r="B936" t="inlineStr">
        <is>
          <t>CUHSL</t>
        </is>
      </c>
      <c r="C936" t="inlineStr">
        <is>
          <t>SHELVES</t>
        </is>
      </c>
      <c r="D936" t="inlineStr">
        <is>
          <t>W 89 R728p 2004</t>
        </is>
      </c>
      <c r="E936" t="inlineStr">
        <is>
          <t>0                      W  0089000R  728p        2004</t>
        </is>
      </c>
      <c r="F936" t="inlineStr">
        <is>
          <t>Practical ethics for general practice / by Wendy A. Rogers and Annette J. Braunack-Mayer.</t>
        </is>
      </c>
      <c r="H936" t="inlineStr">
        <is>
          <t>No</t>
        </is>
      </c>
      <c r="I936" t="inlineStr">
        <is>
          <t>1</t>
        </is>
      </c>
      <c r="J936" t="inlineStr">
        <is>
          <t>No</t>
        </is>
      </c>
      <c r="K936" t="inlineStr">
        <is>
          <t>No</t>
        </is>
      </c>
      <c r="L936" t="inlineStr">
        <is>
          <t>1</t>
        </is>
      </c>
      <c r="M936" t="inlineStr">
        <is>
          <t>Rogers, Wendy, 1957-</t>
        </is>
      </c>
      <c r="N936" t="inlineStr">
        <is>
          <t>Oxford ; New York : Oxford University Press, 2004.</t>
        </is>
      </c>
      <c r="O936" t="inlineStr">
        <is>
          <t>2004</t>
        </is>
      </c>
      <c r="Q936" t="inlineStr">
        <is>
          <t>eng</t>
        </is>
      </c>
      <c r="R936" t="inlineStr">
        <is>
          <t>enk</t>
        </is>
      </c>
      <c r="T936" t="inlineStr">
        <is>
          <t xml:space="preserve">W  </t>
        </is>
      </c>
      <c r="U936" t="n">
        <v>3</v>
      </c>
      <c r="V936" t="n">
        <v>3</v>
      </c>
      <c r="W936" t="inlineStr">
        <is>
          <t>2004-09-20</t>
        </is>
      </c>
      <c r="X936" t="inlineStr">
        <is>
          <t>2004-09-20</t>
        </is>
      </c>
      <c r="Y936" t="inlineStr">
        <is>
          <t>2004-09-14</t>
        </is>
      </c>
      <c r="Z936" t="inlineStr">
        <is>
          <t>2004-09-14</t>
        </is>
      </c>
      <c r="AA936" t="n">
        <v>147</v>
      </c>
      <c r="AB936" t="n">
        <v>80</v>
      </c>
      <c r="AC936" t="n">
        <v>1048</v>
      </c>
      <c r="AD936" t="n">
        <v>1</v>
      </c>
      <c r="AE936" t="n">
        <v>15</v>
      </c>
      <c r="AF936" t="n">
        <v>4</v>
      </c>
      <c r="AG936" t="n">
        <v>45</v>
      </c>
      <c r="AH936" t="n">
        <v>1</v>
      </c>
      <c r="AI936" t="n">
        <v>12</v>
      </c>
      <c r="AJ936" t="n">
        <v>1</v>
      </c>
      <c r="AK936" t="n">
        <v>10</v>
      </c>
      <c r="AL936" t="n">
        <v>4</v>
      </c>
      <c r="AM936" t="n">
        <v>16</v>
      </c>
      <c r="AN936" t="n">
        <v>0</v>
      </c>
      <c r="AO936" t="n">
        <v>13</v>
      </c>
      <c r="AP936" t="n">
        <v>0</v>
      </c>
      <c r="AQ936" t="n">
        <v>2</v>
      </c>
      <c r="AR936" t="inlineStr">
        <is>
          <t>No</t>
        </is>
      </c>
      <c r="AS936" t="inlineStr">
        <is>
          <t>Yes</t>
        </is>
      </c>
      <c r="AT936">
        <f>HYPERLINK("http://catalog.hathitrust.org/Record/004734836","HathiTrust Record")</f>
        <v/>
      </c>
      <c r="AU936">
        <f>HYPERLINK("https://creighton-primo.hosted.exlibrisgroup.com/primo-explore/search?tab=default_tab&amp;search_scope=EVERYTHING&amp;vid=01CRU&amp;lang=en_US&amp;offset=0&amp;query=any,contains,991000389049702656","Catalog Record")</f>
        <v/>
      </c>
      <c r="AV936">
        <f>HYPERLINK("http://www.worldcat.org/oclc/54858246","WorldCat Record")</f>
        <v/>
      </c>
      <c r="AW936" t="inlineStr">
        <is>
          <t>664056:eng</t>
        </is>
      </c>
      <c r="AX936" t="inlineStr">
        <is>
          <t>54858246</t>
        </is>
      </c>
      <c r="AY936" t="inlineStr">
        <is>
          <t>991000389049702656</t>
        </is>
      </c>
      <c r="AZ936" t="inlineStr">
        <is>
          <t>991000389049702656</t>
        </is>
      </c>
      <c r="BA936" t="inlineStr">
        <is>
          <t>2271332790002656</t>
        </is>
      </c>
      <c r="BB936" t="inlineStr">
        <is>
          <t>BOOK</t>
        </is>
      </c>
      <c r="BD936" t="inlineStr">
        <is>
          <t>9780198525042</t>
        </is>
      </c>
      <c r="BE936" t="inlineStr">
        <is>
          <t>30001004921625</t>
        </is>
      </c>
      <c r="BF936" t="inlineStr">
        <is>
          <t>893827442</t>
        </is>
      </c>
    </row>
    <row r="937">
      <c r="A937" t="inlineStr">
        <is>
          <t>No</t>
        </is>
      </c>
      <c r="B937" t="inlineStr">
        <is>
          <t>CUHSL</t>
        </is>
      </c>
      <c r="C937" t="inlineStr">
        <is>
          <t>SHELVES</t>
        </is>
      </c>
      <c r="D937" t="inlineStr">
        <is>
          <t>W 89 R828e 1998</t>
        </is>
      </c>
      <c r="E937" t="inlineStr">
        <is>
          <t>0                      W  0089000R  828e        1998</t>
        </is>
      </c>
      <c r="F937" t="inlineStr">
        <is>
          <t>Evidence-based family medicine / Walter W. Rosser, M. Sharon Shafir.</t>
        </is>
      </c>
      <c r="H937" t="inlineStr">
        <is>
          <t>No</t>
        </is>
      </c>
      <c r="I937" t="inlineStr">
        <is>
          <t>1</t>
        </is>
      </c>
      <c r="J937" t="inlineStr">
        <is>
          <t>No</t>
        </is>
      </c>
      <c r="K937" t="inlineStr">
        <is>
          <t>No</t>
        </is>
      </c>
      <c r="L937" t="inlineStr">
        <is>
          <t>0</t>
        </is>
      </c>
      <c r="M937" t="inlineStr">
        <is>
          <t>Rosser, Walter.</t>
        </is>
      </c>
      <c r="N937" t="inlineStr">
        <is>
          <t>Hamilton, Ont. : B.C. Decker, c1998.</t>
        </is>
      </c>
      <c r="O937" t="inlineStr">
        <is>
          <t>1998</t>
        </is>
      </c>
      <c r="Q937" t="inlineStr">
        <is>
          <t>eng</t>
        </is>
      </c>
      <c r="R937" t="inlineStr">
        <is>
          <t>onc</t>
        </is>
      </c>
      <c r="T937" t="inlineStr">
        <is>
          <t xml:space="preserve">W  </t>
        </is>
      </c>
      <c r="U937" t="n">
        <v>5</v>
      </c>
      <c r="V937" t="n">
        <v>5</v>
      </c>
      <c r="W937" t="inlineStr">
        <is>
          <t>2001-11-02</t>
        </is>
      </c>
      <c r="X937" t="inlineStr">
        <is>
          <t>2001-11-02</t>
        </is>
      </c>
      <c r="Y937" t="inlineStr">
        <is>
          <t>1998-11-05</t>
        </is>
      </c>
      <c r="Z937" t="inlineStr">
        <is>
          <t>1998-11-05</t>
        </is>
      </c>
      <c r="AA937" t="n">
        <v>113</v>
      </c>
      <c r="AB937" t="n">
        <v>80</v>
      </c>
      <c r="AC937" t="n">
        <v>735</v>
      </c>
      <c r="AD937" t="n">
        <v>1</v>
      </c>
      <c r="AE937" t="n">
        <v>2</v>
      </c>
      <c r="AF937" t="n">
        <v>1</v>
      </c>
      <c r="AG937" t="n">
        <v>8</v>
      </c>
      <c r="AH937" t="n">
        <v>0</v>
      </c>
      <c r="AI937" t="n">
        <v>5</v>
      </c>
      <c r="AJ937" t="n">
        <v>0</v>
      </c>
      <c r="AK937" t="n">
        <v>0</v>
      </c>
      <c r="AL937" t="n">
        <v>1</v>
      </c>
      <c r="AM937" t="n">
        <v>3</v>
      </c>
      <c r="AN937" t="n">
        <v>0</v>
      </c>
      <c r="AO937" t="n">
        <v>1</v>
      </c>
      <c r="AP937" t="n">
        <v>0</v>
      </c>
      <c r="AQ937" t="n">
        <v>0</v>
      </c>
      <c r="AR937" t="inlineStr">
        <is>
          <t>No</t>
        </is>
      </c>
      <c r="AS937" t="inlineStr">
        <is>
          <t>Yes</t>
        </is>
      </c>
      <c r="AT937">
        <f>HYPERLINK("http://catalog.hathitrust.org/Record/003971397","HathiTrust Record")</f>
        <v/>
      </c>
      <c r="AU937">
        <f>HYPERLINK("https://creighton-primo.hosted.exlibrisgroup.com/primo-explore/search?tab=default_tab&amp;search_scope=EVERYTHING&amp;vid=01CRU&amp;lang=en_US&amp;offset=0&amp;query=any,contains,991001570649702656","Catalog Record")</f>
        <v/>
      </c>
      <c r="AV937">
        <f>HYPERLINK("http://www.worldcat.org/oclc/38547758","WorldCat Record")</f>
        <v/>
      </c>
      <c r="AW937" t="inlineStr">
        <is>
          <t>2564962002:eng</t>
        </is>
      </c>
      <c r="AX937" t="inlineStr">
        <is>
          <t>38547758</t>
        </is>
      </c>
      <c r="AY937" t="inlineStr">
        <is>
          <t>991001570649702656</t>
        </is>
      </c>
      <c r="AZ937" t="inlineStr">
        <is>
          <t>991001570649702656</t>
        </is>
      </c>
      <c r="BA937" t="inlineStr">
        <is>
          <t>2255357820002656</t>
        </is>
      </c>
      <c r="BB937" t="inlineStr">
        <is>
          <t>BOOK</t>
        </is>
      </c>
      <c r="BD937" t="inlineStr">
        <is>
          <t>9781550090536</t>
        </is>
      </c>
      <c r="BE937" t="inlineStr">
        <is>
          <t>30001004092302</t>
        </is>
      </c>
      <c r="BF937" t="inlineStr">
        <is>
          <t>893121648</t>
        </is>
      </c>
    </row>
    <row r="938">
      <c r="A938" t="inlineStr">
        <is>
          <t>No</t>
        </is>
      </c>
      <c r="B938" t="inlineStr">
        <is>
          <t>CUHSL</t>
        </is>
      </c>
      <c r="C938" t="inlineStr">
        <is>
          <t>SHELVES</t>
        </is>
      </c>
      <c r="D938" t="inlineStr">
        <is>
          <t>W 89 V878f 1992</t>
        </is>
      </c>
      <c r="E938" t="inlineStr">
        <is>
          <t>0                      W  0089000V  878f        1992</t>
        </is>
      </c>
      <c r="F938" t="inlineStr">
        <is>
          <t>Family physicians and managed care : a view to the 90s / by David E. Vogel.</t>
        </is>
      </c>
      <c r="H938" t="inlineStr">
        <is>
          <t>No</t>
        </is>
      </c>
      <c r="I938" t="inlineStr">
        <is>
          <t>1</t>
        </is>
      </c>
      <c r="J938" t="inlineStr">
        <is>
          <t>No</t>
        </is>
      </c>
      <c r="K938" t="inlineStr">
        <is>
          <t>No</t>
        </is>
      </c>
      <c r="L938" t="inlineStr">
        <is>
          <t>0</t>
        </is>
      </c>
      <c r="M938" t="inlineStr">
        <is>
          <t>Vogel, David E.</t>
        </is>
      </c>
      <c r="N938" t="inlineStr">
        <is>
          <t>[S.l.] : American Academy of Family Physicians, [199-?]</t>
        </is>
      </c>
      <c r="O938" t="inlineStr">
        <is>
          <t>1991</t>
        </is>
      </c>
      <c r="Q938" t="inlineStr">
        <is>
          <t>eng</t>
        </is>
      </c>
      <c r="R938" t="inlineStr">
        <is>
          <t xml:space="preserve">xx </t>
        </is>
      </c>
      <c r="T938" t="inlineStr">
        <is>
          <t xml:space="preserve">W  </t>
        </is>
      </c>
      <c r="U938" t="n">
        <v>15</v>
      </c>
      <c r="V938" t="n">
        <v>15</v>
      </c>
      <c r="W938" t="inlineStr">
        <is>
          <t>2003-03-06</t>
        </is>
      </c>
      <c r="X938" t="inlineStr">
        <is>
          <t>2003-03-06</t>
        </is>
      </c>
      <c r="Y938" t="inlineStr">
        <is>
          <t>1993-03-30</t>
        </is>
      </c>
      <c r="Z938" t="inlineStr">
        <is>
          <t>1993-03-30</t>
        </is>
      </c>
      <c r="AA938" t="n">
        <v>67</v>
      </c>
      <c r="AB938" t="n">
        <v>67</v>
      </c>
      <c r="AC938" t="n">
        <v>70</v>
      </c>
      <c r="AD938" t="n">
        <v>1</v>
      </c>
      <c r="AE938" t="n">
        <v>1</v>
      </c>
      <c r="AF938" t="n">
        <v>2</v>
      </c>
      <c r="AG938" t="n">
        <v>2</v>
      </c>
      <c r="AH938" t="n">
        <v>0</v>
      </c>
      <c r="AI938" t="n">
        <v>0</v>
      </c>
      <c r="AJ938" t="n">
        <v>0</v>
      </c>
      <c r="AK938" t="n">
        <v>0</v>
      </c>
      <c r="AL938" t="n">
        <v>2</v>
      </c>
      <c r="AM938" t="n">
        <v>2</v>
      </c>
      <c r="AN938" t="n">
        <v>0</v>
      </c>
      <c r="AO938" t="n">
        <v>0</v>
      </c>
      <c r="AP938" t="n">
        <v>0</v>
      </c>
      <c r="AQ938" t="n">
        <v>0</v>
      </c>
      <c r="AR938" t="inlineStr">
        <is>
          <t>No</t>
        </is>
      </c>
      <c r="AS938" t="inlineStr">
        <is>
          <t>Yes</t>
        </is>
      </c>
      <c r="AT938">
        <f>HYPERLINK("http://catalog.hathitrust.org/Record/002698810","HathiTrust Record")</f>
        <v/>
      </c>
      <c r="AU938">
        <f>HYPERLINK("https://creighton-primo.hosted.exlibrisgroup.com/primo-explore/search?tab=default_tab&amp;search_scope=EVERYTHING&amp;vid=01CRU&amp;lang=en_US&amp;offset=0&amp;query=any,contains,991001477489702656","Catalog Record")</f>
        <v/>
      </c>
      <c r="AV938">
        <f>HYPERLINK("http://www.worldcat.org/oclc/29702478","WorldCat Record")</f>
        <v/>
      </c>
      <c r="AW938" t="inlineStr">
        <is>
          <t>30069737:eng</t>
        </is>
      </c>
      <c r="AX938" t="inlineStr">
        <is>
          <t>29702478</t>
        </is>
      </c>
      <c r="AY938" t="inlineStr">
        <is>
          <t>991001477489702656</t>
        </is>
      </c>
      <c r="AZ938" t="inlineStr">
        <is>
          <t>991001477489702656</t>
        </is>
      </c>
      <c r="BA938" t="inlineStr">
        <is>
          <t>2257328730002656</t>
        </is>
      </c>
      <c r="BB938" t="inlineStr">
        <is>
          <t>BOOK</t>
        </is>
      </c>
      <c r="BE938" t="inlineStr">
        <is>
          <t>30001002563676</t>
        </is>
      </c>
      <c r="BF938" t="inlineStr">
        <is>
          <t>893149252</t>
        </is>
      </c>
    </row>
    <row r="939">
      <c r="A939" t="inlineStr">
        <is>
          <t>No</t>
        </is>
      </c>
      <c r="B939" t="inlineStr">
        <is>
          <t>CUHSL</t>
        </is>
      </c>
      <c r="C939" t="inlineStr">
        <is>
          <t>SHELVES</t>
        </is>
      </c>
      <c r="D939" t="inlineStr">
        <is>
          <t>W 90 T238h 1999</t>
        </is>
      </c>
      <c r="E939" t="inlineStr">
        <is>
          <t>0                      W  0090000T  238h        1999</t>
        </is>
      </c>
      <c r="F939" t="inlineStr">
        <is>
          <t>How to choose a medical specialty / Anita D. Taylor.</t>
        </is>
      </c>
      <c r="H939" t="inlineStr">
        <is>
          <t>No</t>
        </is>
      </c>
      <c r="I939" t="inlineStr">
        <is>
          <t>1</t>
        </is>
      </c>
      <c r="J939" t="inlineStr">
        <is>
          <t>No</t>
        </is>
      </c>
      <c r="K939" t="inlineStr">
        <is>
          <t>No</t>
        </is>
      </c>
      <c r="L939" t="inlineStr">
        <is>
          <t>0</t>
        </is>
      </c>
      <c r="M939" t="inlineStr">
        <is>
          <t>Taylor, Anita D.</t>
        </is>
      </c>
      <c r="N939" t="inlineStr">
        <is>
          <t>Philadelphia : Saunders, c1999.</t>
        </is>
      </c>
      <c r="O939" t="inlineStr">
        <is>
          <t>1999</t>
        </is>
      </c>
      <c r="P939" t="inlineStr">
        <is>
          <t>3rd ed.</t>
        </is>
      </c>
      <c r="Q939" t="inlineStr">
        <is>
          <t>eng</t>
        </is>
      </c>
      <c r="R939" t="inlineStr">
        <is>
          <t>pau</t>
        </is>
      </c>
      <c r="T939" t="inlineStr">
        <is>
          <t xml:space="preserve">W  </t>
        </is>
      </c>
      <c r="U939" t="n">
        <v>8</v>
      </c>
      <c r="V939" t="n">
        <v>8</v>
      </c>
      <c r="W939" t="inlineStr">
        <is>
          <t>2010-05-03</t>
        </is>
      </c>
      <c r="X939" t="inlineStr">
        <is>
          <t>2010-05-03</t>
        </is>
      </c>
      <c r="Y939" t="inlineStr">
        <is>
          <t>2000-03-30</t>
        </is>
      </c>
      <c r="Z939" t="inlineStr">
        <is>
          <t>2000-03-30</t>
        </is>
      </c>
      <c r="AA939" t="n">
        <v>125</v>
      </c>
      <c r="AB939" t="n">
        <v>97</v>
      </c>
      <c r="AC939" t="n">
        <v>240</v>
      </c>
      <c r="AD939" t="n">
        <v>1</v>
      </c>
      <c r="AE939" t="n">
        <v>3</v>
      </c>
      <c r="AF939" t="n">
        <v>3</v>
      </c>
      <c r="AG939" t="n">
        <v>9</v>
      </c>
      <c r="AH939" t="n">
        <v>0</v>
      </c>
      <c r="AI939" t="n">
        <v>2</v>
      </c>
      <c r="AJ939" t="n">
        <v>1</v>
      </c>
      <c r="AK939" t="n">
        <v>2</v>
      </c>
      <c r="AL939" t="n">
        <v>2</v>
      </c>
      <c r="AM939" t="n">
        <v>4</v>
      </c>
      <c r="AN939" t="n">
        <v>0</v>
      </c>
      <c r="AO939" t="n">
        <v>2</v>
      </c>
      <c r="AP939" t="n">
        <v>0</v>
      </c>
      <c r="AQ939" t="n">
        <v>0</v>
      </c>
      <c r="AR939" t="inlineStr">
        <is>
          <t>No</t>
        </is>
      </c>
      <c r="AS939" t="inlineStr">
        <is>
          <t>Yes</t>
        </is>
      </c>
      <c r="AT939">
        <f>HYPERLINK("http://catalog.hathitrust.org/Record/004066758","HathiTrust Record")</f>
        <v/>
      </c>
      <c r="AU939">
        <f>HYPERLINK("https://creighton-primo.hosted.exlibrisgroup.com/primo-explore/search?tab=default_tab&amp;search_scope=EVERYTHING&amp;vid=01CRU&amp;lang=en_US&amp;offset=0&amp;query=any,contains,991001442469702656","Catalog Record")</f>
        <v/>
      </c>
      <c r="AV939">
        <f>HYPERLINK("http://www.worldcat.org/oclc/40869654","WorldCat Record")</f>
        <v/>
      </c>
      <c r="AW939" t="inlineStr">
        <is>
          <t>731528:eng</t>
        </is>
      </c>
      <c r="AX939" t="inlineStr">
        <is>
          <t>40869654</t>
        </is>
      </c>
      <c r="AY939" t="inlineStr">
        <is>
          <t>991001442469702656</t>
        </is>
      </c>
      <c r="AZ939" t="inlineStr">
        <is>
          <t>991001442469702656</t>
        </is>
      </c>
      <c r="BA939" t="inlineStr">
        <is>
          <t>2269267630002656</t>
        </is>
      </c>
      <c r="BB939" t="inlineStr">
        <is>
          <t>BOOK</t>
        </is>
      </c>
      <c r="BD939" t="inlineStr">
        <is>
          <t>9780721674629</t>
        </is>
      </c>
      <c r="BE939" t="inlineStr">
        <is>
          <t>30001003882976</t>
        </is>
      </c>
      <c r="BF939" t="inlineStr">
        <is>
          <t>893465547</t>
        </is>
      </c>
    </row>
    <row r="940">
      <c r="A940" t="inlineStr">
        <is>
          <t>No</t>
        </is>
      </c>
      <c r="B940" t="inlineStr">
        <is>
          <t>CUHSL</t>
        </is>
      </c>
      <c r="C940" t="inlineStr">
        <is>
          <t>SHELVES</t>
        </is>
      </c>
      <c r="D940" t="inlineStr">
        <is>
          <t>W 90 W386h 1976</t>
        </is>
      </c>
      <c r="E940" t="inlineStr">
        <is>
          <t>0                      W  0090000W  386h        1976</t>
        </is>
      </c>
      <c r="F940" t="inlineStr">
        <is>
          <t>Handbook of medical specialties / Henry Wechsler.</t>
        </is>
      </c>
      <c r="H940" t="inlineStr">
        <is>
          <t>No</t>
        </is>
      </c>
      <c r="I940" t="inlineStr">
        <is>
          <t>1</t>
        </is>
      </c>
      <c r="J940" t="inlineStr">
        <is>
          <t>No</t>
        </is>
      </c>
      <c r="K940" t="inlineStr">
        <is>
          <t>No</t>
        </is>
      </c>
      <c r="L940" t="inlineStr">
        <is>
          <t>0</t>
        </is>
      </c>
      <c r="M940" t="inlineStr">
        <is>
          <t>Wechsler, Henry, 1932-</t>
        </is>
      </c>
      <c r="N940" t="inlineStr">
        <is>
          <t>-- New York : Human Sciences Press, c1976.</t>
        </is>
      </c>
      <c r="O940" t="inlineStr">
        <is>
          <t>1976</t>
        </is>
      </c>
      <c r="Q940" t="inlineStr">
        <is>
          <t>eng</t>
        </is>
      </c>
      <c r="R940" t="inlineStr">
        <is>
          <t>nyu</t>
        </is>
      </c>
      <c r="S940" t="inlineStr">
        <is>
          <t>Health services series</t>
        </is>
      </c>
      <c r="T940" t="inlineStr">
        <is>
          <t xml:space="preserve">W  </t>
        </is>
      </c>
      <c r="U940" t="n">
        <v>15</v>
      </c>
      <c r="V940" t="n">
        <v>15</v>
      </c>
      <c r="W940" t="inlineStr">
        <is>
          <t>2000-02-01</t>
        </is>
      </c>
      <c r="X940" t="inlineStr">
        <is>
          <t>2000-02-01</t>
        </is>
      </c>
      <c r="Y940" t="inlineStr">
        <is>
          <t>1987-12-22</t>
        </is>
      </c>
      <c r="Z940" t="inlineStr">
        <is>
          <t>1987-12-22</t>
        </is>
      </c>
      <c r="AA940" t="n">
        <v>295</v>
      </c>
      <c r="AB940" t="n">
        <v>275</v>
      </c>
      <c r="AC940" t="n">
        <v>277</v>
      </c>
      <c r="AD940" t="n">
        <v>3</v>
      </c>
      <c r="AE940" t="n">
        <v>3</v>
      </c>
      <c r="AF940" t="n">
        <v>6</v>
      </c>
      <c r="AG940" t="n">
        <v>6</v>
      </c>
      <c r="AH940" t="n">
        <v>2</v>
      </c>
      <c r="AI940" t="n">
        <v>2</v>
      </c>
      <c r="AJ940" t="n">
        <v>1</v>
      </c>
      <c r="AK940" t="n">
        <v>1</v>
      </c>
      <c r="AL940" t="n">
        <v>3</v>
      </c>
      <c r="AM940" t="n">
        <v>3</v>
      </c>
      <c r="AN940" t="n">
        <v>2</v>
      </c>
      <c r="AO940" t="n">
        <v>2</v>
      </c>
      <c r="AP940" t="n">
        <v>0</v>
      </c>
      <c r="AQ940" t="n">
        <v>0</v>
      </c>
      <c r="AR940" t="inlineStr">
        <is>
          <t>No</t>
        </is>
      </c>
      <c r="AS940" t="inlineStr">
        <is>
          <t>Yes</t>
        </is>
      </c>
      <c r="AT940">
        <f>HYPERLINK("http://catalog.hathitrust.org/Record/000744011","HathiTrust Record")</f>
        <v/>
      </c>
      <c r="AU940">
        <f>HYPERLINK("https://creighton-primo.hosted.exlibrisgroup.com/primo-explore/search?tab=default_tab&amp;search_scope=EVERYTHING&amp;vid=01CRU&amp;lang=en_US&amp;offset=0&amp;query=any,contains,991000661929702656","Catalog Record")</f>
        <v/>
      </c>
      <c r="AV940">
        <f>HYPERLINK("http://www.worldcat.org/oclc/2415549","WorldCat Record")</f>
        <v/>
      </c>
      <c r="AW940" t="inlineStr">
        <is>
          <t>535284:eng</t>
        </is>
      </c>
      <c r="AX940" t="inlineStr">
        <is>
          <t>2415549</t>
        </is>
      </c>
      <c r="AY940" t="inlineStr">
        <is>
          <t>991000661929702656</t>
        </is>
      </c>
      <c r="AZ940" t="inlineStr">
        <is>
          <t>991000661929702656</t>
        </is>
      </c>
      <c r="BA940" t="inlineStr">
        <is>
          <t>2265512650002656</t>
        </is>
      </c>
      <c r="BB940" t="inlineStr">
        <is>
          <t>BOOK</t>
        </is>
      </c>
      <c r="BD940" t="inlineStr">
        <is>
          <t>9780877052326</t>
        </is>
      </c>
      <c r="BE940" t="inlineStr">
        <is>
          <t>30001000688764</t>
        </is>
      </c>
      <c r="BF940" t="inlineStr">
        <is>
          <t>893160763</t>
        </is>
      </c>
    </row>
    <row r="941">
      <c r="A941" t="inlineStr">
        <is>
          <t>No</t>
        </is>
      </c>
      <c r="B941" t="inlineStr">
        <is>
          <t>CUHSL</t>
        </is>
      </c>
      <c r="C941" t="inlineStr">
        <is>
          <t>SHELVES</t>
        </is>
      </c>
      <c r="D941" t="inlineStr">
        <is>
          <t>W 92 H388m 1993</t>
        </is>
      </c>
      <c r="E941" t="inlineStr">
        <is>
          <t>0                      W  0092000H  388m        1993</t>
        </is>
      </c>
      <c r="F941" t="inlineStr">
        <is>
          <t>Medical groups in the U.S. : a survey of practice characteristics / Penny L. Havlicek, Mary Ann Eiler, Ondria T. Neblett.</t>
        </is>
      </c>
      <c r="H941" t="inlineStr">
        <is>
          <t>No</t>
        </is>
      </c>
      <c r="I941" t="inlineStr">
        <is>
          <t>1</t>
        </is>
      </c>
      <c r="J941" t="inlineStr">
        <is>
          <t>No</t>
        </is>
      </c>
      <c r="K941" t="inlineStr">
        <is>
          <t>No</t>
        </is>
      </c>
      <c r="L941" t="inlineStr">
        <is>
          <t>0</t>
        </is>
      </c>
      <c r="M941" t="inlineStr">
        <is>
          <t>Havlicek, Penny L.</t>
        </is>
      </c>
      <c r="N941" t="inlineStr">
        <is>
          <t>Chicago, Ill. : Division of Survey &amp; Data Resources, Dept. of Professional Activities and Information, American Medical Association, 1993, c1992.</t>
        </is>
      </c>
      <c r="O941" t="inlineStr">
        <is>
          <t>1993</t>
        </is>
      </c>
      <c r="P941" t="inlineStr">
        <is>
          <t>1993 ed.</t>
        </is>
      </c>
      <c r="Q941" t="inlineStr">
        <is>
          <t>eng</t>
        </is>
      </c>
      <c r="R941" t="inlineStr">
        <is>
          <t>ilu</t>
        </is>
      </c>
      <c r="T941" t="inlineStr">
        <is>
          <t xml:space="preserve">W  </t>
        </is>
      </c>
      <c r="U941" t="n">
        <v>3</v>
      </c>
      <c r="V941" t="n">
        <v>3</v>
      </c>
      <c r="W941" t="inlineStr">
        <is>
          <t>1994-09-21</t>
        </is>
      </c>
      <c r="X941" t="inlineStr">
        <is>
          <t>1994-09-21</t>
        </is>
      </c>
      <c r="Y941" t="inlineStr">
        <is>
          <t>1994-08-25</t>
        </is>
      </c>
      <c r="Z941" t="inlineStr">
        <is>
          <t>1994-08-25</t>
        </is>
      </c>
      <c r="AA941" t="n">
        <v>17</v>
      </c>
      <c r="AB941" t="n">
        <v>17</v>
      </c>
      <c r="AC941" t="n">
        <v>125</v>
      </c>
      <c r="AD941" t="n">
        <v>1</v>
      </c>
      <c r="AE941" t="n">
        <v>1</v>
      </c>
      <c r="AF941" t="n">
        <v>1</v>
      </c>
      <c r="AG941" t="n">
        <v>2</v>
      </c>
      <c r="AH941" t="n">
        <v>0</v>
      </c>
      <c r="AI941" t="n">
        <v>0</v>
      </c>
      <c r="AJ941" t="n">
        <v>0</v>
      </c>
      <c r="AK941" t="n">
        <v>0</v>
      </c>
      <c r="AL941" t="n">
        <v>1</v>
      </c>
      <c r="AM941" t="n">
        <v>1</v>
      </c>
      <c r="AN941" t="n">
        <v>0</v>
      </c>
      <c r="AO941" t="n">
        <v>0</v>
      </c>
      <c r="AP941" t="n">
        <v>0</v>
      </c>
      <c r="AQ941" t="n">
        <v>1</v>
      </c>
      <c r="AR941" t="inlineStr">
        <is>
          <t>No</t>
        </is>
      </c>
      <c r="AS941" t="inlineStr">
        <is>
          <t>No</t>
        </is>
      </c>
      <c r="AU941">
        <f>HYPERLINK("https://creighton-primo.hosted.exlibrisgroup.com/primo-explore/search?tab=default_tab&amp;search_scope=EVERYTHING&amp;vid=01CRU&amp;lang=en_US&amp;offset=0&amp;query=any,contains,991001233379702656","Catalog Record")</f>
        <v/>
      </c>
      <c r="AV941">
        <f>HYPERLINK("http://www.worldcat.org/oclc/27000523","WorldCat Record")</f>
        <v/>
      </c>
      <c r="AW941" t="inlineStr">
        <is>
          <t>2034911:eng</t>
        </is>
      </c>
      <c r="AX941" t="inlineStr">
        <is>
          <t>27000523</t>
        </is>
      </c>
      <c r="AY941" t="inlineStr">
        <is>
          <t>991001233379702656</t>
        </is>
      </c>
      <c r="AZ941" t="inlineStr">
        <is>
          <t>991001233379702656</t>
        </is>
      </c>
      <c r="BA941" t="inlineStr">
        <is>
          <t>2259178130002656</t>
        </is>
      </c>
      <c r="BB941" t="inlineStr">
        <is>
          <t>BOOK</t>
        </is>
      </c>
      <c r="BD941" t="inlineStr">
        <is>
          <t>9780899704999</t>
        </is>
      </c>
      <c r="BE941" t="inlineStr">
        <is>
          <t>30001003007202</t>
        </is>
      </c>
      <c r="BF941" t="inlineStr">
        <is>
          <t>893731765</t>
        </is>
      </c>
    </row>
    <row r="942">
      <c r="A942" t="inlineStr">
        <is>
          <t>No</t>
        </is>
      </c>
      <c r="B942" t="inlineStr">
        <is>
          <t>CUHSL</t>
        </is>
      </c>
      <c r="C942" t="inlineStr">
        <is>
          <t>SHELVES</t>
        </is>
      </c>
      <c r="D942" t="inlineStr">
        <is>
          <t>W 92 P578 1993</t>
        </is>
      </c>
      <c r="E942" t="inlineStr">
        <is>
          <t>0                      W  0092000P  578         1993</t>
        </is>
      </c>
      <c r="F942" t="inlineStr">
        <is>
          <t>Physicians in medical groups : a comparative analysis / edited by Penny L. Havlicek, Mary Ann Eiler.</t>
        </is>
      </c>
      <c r="H942" t="inlineStr">
        <is>
          <t>No</t>
        </is>
      </c>
      <c r="I942" t="inlineStr">
        <is>
          <t>1</t>
        </is>
      </c>
      <c r="J942" t="inlineStr">
        <is>
          <t>No</t>
        </is>
      </c>
      <c r="K942" t="inlineStr">
        <is>
          <t>No</t>
        </is>
      </c>
      <c r="L942" t="inlineStr">
        <is>
          <t>0</t>
        </is>
      </c>
      <c r="N942" t="inlineStr">
        <is>
          <t>[Chicago, Ill.] : American Medical Association, Division of Survey and Data Resources, Department of Professional Activities Information, c1993.</t>
        </is>
      </c>
      <c r="O942" t="inlineStr">
        <is>
          <t>1993</t>
        </is>
      </c>
      <c r="Q942" t="inlineStr">
        <is>
          <t>eng</t>
        </is>
      </c>
      <c r="R942" t="inlineStr">
        <is>
          <t>ilu</t>
        </is>
      </c>
      <c r="T942" t="inlineStr">
        <is>
          <t xml:space="preserve">W  </t>
        </is>
      </c>
      <c r="U942" t="n">
        <v>4</v>
      </c>
      <c r="V942" t="n">
        <v>4</v>
      </c>
      <c r="W942" t="inlineStr">
        <is>
          <t>1994-09-21</t>
        </is>
      </c>
      <c r="X942" t="inlineStr">
        <is>
          <t>1994-09-21</t>
        </is>
      </c>
      <c r="Y942" t="inlineStr">
        <is>
          <t>1994-08-25</t>
        </is>
      </c>
      <c r="Z942" t="inlineStr">
        <is>
          <t>1994-08-25</t>
        </is>
      </c>
      <c r="AA942" t="n">
        <v>15</v>
      </c>
      <c r="AB942" t="n">
        <v>15</v>
      </c>
      <c r="AC942" t="n">
        <v>15</v>
      </c>
      <c r="AD942" t="n">
        <v>1</v>
      </c>
      <c r="AE942" t="n">
        <v>1</v>
      </c>
      <c r="AF942" t="n">
        <v>0</v>
      </c>
      <c r="AG942" t="n">
        <v>0</v>
      </c>
      <c r="AH942" t="n">
        <v>0</v>
      </c>
      <c r="AI942" t="n">
        <v>0</v>
      </c>
      <c r="AJ942" t="n">
        <v>0</v>
      </c>
      <c r="AK942" t="n">
        <v>0</v>
      </c>
      <c r="AL942" t="n">
        <v>0</v>
      </c>
      <c r="AM942" t="n">
        <v>0</v>
      </c>
      <c r="AN942" t="n">
        <v>0</v>
      </c>
      <c r="AO942" t="n">
        <v>0</v>
      </c>
      <c r="AP942" t="n">
        <v>0</v>
      </c>
      <c r="AQ942" t="n">
        <v>0</v>
      </c>
      <c r="AR942" t="inlineStr">
        <is>
          <t>No</t>
        </is>
      </c>
      <c r="AS942" t="inlineStr">
        <is>
          <t>No</t>
        </is>
      </c>
      <c r="AU942">
        <f>HYPERLINK("https://creighton-primo.hosted.exlibrisgroup.com/primo-explore/search?tab=default_tab&amp;search_scope=EVERYTHING&amp;vid=01CRU&amp;lang=en_US&amp;offset=0&amp;query=any,contains,991001233729702656","Catalog Record")</f>
        <v/>
      </c>
      <c r="AV942">
        <f>HYPERLINK("http://www.worldcat.org/oclc/29785548","WorldCat Record")</f>
        <v/>
      </c>
      <c r="AW942" t="inlineStr">
        <is>
          <t>32308825:eng</t>
        </is>
      </c>
      <c r="AX942" t="inlineStr">
        <is>
          <t>29785548</t>
        </is>
      </c>
      <c r="AY942" t="inlineStr">
        <is>
          <t>991001233729702656</t>
        </is>
      </c>
      <c r="AZ942" t="inlineStr">
        <is>
          <t>991001233729702656</t>
        </is>
      </c>
      <c r="BA942" t="inlineStr">
        <is>
          <t>2255593110002656</t>
        </is>
      </c>
      <c r="BB942" t="inlineStr">
        <is>
          <t>BOOK</t>
        </is>
      </c>
      <c r="BE942" t="inlineStr">
        <is>
          <t>30001003007301</t>
        </is>
      </c>
      <c r="BF942" t="inlineStr">
        <is>
          <t>893546471</t>
        </is>
      </c>
    </row>
    <row r="943">
      <c r="A943" t="inlineStr">
        <is>
          <t>No</t>
        </is>
      </c>
      <c r="B943" t="inlineStr">
        <is>
          <t>CUHSL</t>
        </is>
      </c>
      <c r="C943" t="inlineStr">
        <is>
          <t>SHELVES</t>
        </is>
      </c>
      <c r="D943" t="inlineStr">
        <is>
          <t>W 96 T635p 1999</t>
        </is>
      </c>
      <c r="E943" t="inlineStr">
        <is>
          <t>0                      W  0096000T  635p        1999</t>
        </is>
      </c>
      <c r="F943" t="inlineStr">
        <is>
          <t>Physician employment contract handbook / Maria K. Todd.</t>
        </is>
      </c>
      <c r="H943" t="inlineStr">
        <is>
          <t>No</t>
        </is>
      </c>
      <c r="I943" t="inlineStr">
        <is>
          <t>1</t>
        </is>
      </c>
      <c r="J943" t="inlineStr">
        <is>
          <t>No</t>
        </is>
      </c>
      <c r="K943" t="inlineStr">
        <is>
          <t>No</t>
        </is>
      </c>
      <c r="L943" t="inlineStr">
        <is>
          <t>0</t>
        </is>
      </c>
      <c r="M943" t="inlineStr">
        <is>
          <t>Todd, Maria K.</t>
        </is>
      </c>
      <c r="N943" t="inlineStr">
        <is>
          <t>New York : McGraw-Hill, c1999.</t>
        </is>
      </c>
      <c r="O943" t="inlineStr">
        <is>
          <t>1999</t>
        </is>
      </c>
      <c r="Q943" t="inlineStr">
        <is>
          <t>eng</t>
        </is>
      </c>
      <c r="R943" t="inlineStr">
        <is>
          <t>nyu</t>
        </is>
      </c>
      <c r="T943" t="inlineStr">
        <is>
          <t xml:space="preserve">W  </t>
        </is>
      </c>
      <c r="U943" t="n">
        <v>1</v>
      </c>
      <c r="V943" t="n">
        <v>1</v>
      </c>
      <c r="W943" t="inlineStr">
        <is>
          <t>2003-10-17</t>
        </is>
      </c>
      <c r="X943" t="inlineStr">
        <is>
          <t>2003-10-17</t>
        </is>
      </c>
      <c r="Y943" t="inlineStr">
        <is>
          <t>2003-10-17</t>
        </is>
      </c>
      <c r="Z943" t="inlineStr">
        <is>
          <t>2003-10-17</t>
        </is>
      </c>
      <c r="AA943" t="n">
        <v>36</v>
      </c>
      <c r="AB943" t="n">
        <v>36</v>
      </c>
      <c r="AC943" t="n">
        <v>160</v>
      </c>
      <c r="AD943" t="n">
        <v>1</v>
      </c>
      <c r="AE943" t="n">
        <v>3</v>
      </c>
      <c r="AF943" t="n">
        <v>2</v>
      </c>
      <c r="AG943" t="n">
        <v>11</v>
      </c>
      <c r="AH943" t="n">
        <v>0</v>
      </c>
      <c r="AI943" t="n">
        <v>1</v>
      </c>
      <c r="AJ943" t="n">
        <v>1</v>
      </c>
      <c r="AK943" t="n">
        <v>3</v>
      </c>
      <c r="AL943" t="n">
        <v>0</v>
      </c>
      <c r="AM943" t="n">
        <v>3</v>
      </c>
      <c r="AN943" t="n">
        <v>0</v>
      </c>
      <c r="AO943" t="n">
        <v>2</v>
      </c>
      <c r="AP943" t="n">
        <v>1</v>
      </c>
      <c r="AQ943" t="n">
        <v>2</v>
      </c>
      <c r="AR943" t="inlineStr">
        <is>
          <t>No</t>
        </is>
      </c>
      <c r="AS943" t="inlineStr">
        <is>
          <t>Yes</t>
        </is>
      </c>
      <c r="AT943">
        <f>HYPERLINK("http://catalog.hathitrust.org/Record/004041344","HathiTrust Record")</f>
        <v/>
      </c>
      <c r="AU943">
        <f>HYPERLINK("https://creighton-primo.hosted.exlibrisgroup.com/primo-explore/search?tab=default_tab&amp;search_scope=EVERYTHING&amp;vid=01CRU&amp;lang=en_US&amp;offset=0&amp;query=any,contains,991000358389702656","Catalog Record")</f>
        <v/>
      </c>
      <c r="AV943">
        <f>HYPERLINK("http://www.worldcat.org/oclc/40907564","WorldCat Record")</f>
        <v/>
      </c>
      <c r="AW943" t="inlineStr">
        <is>
          <t>1808812990:eng</t>
        </is>
      </c>
      <c r="AX943" t="inlineStr">
        <is>
          <t>40907564</t>
        </is>
      </c>
      <c r="AY943" t="inlineStr">
        <is>
          <t>991000358389702656</t>
        </is>
      </c>
      <c r="AZ943" t="inlineStr">
        <is>
          <t>991000358389702656</t>
        </is>
      </c>
      <c r="BA943" t="inlineStr">
        <is>
          <t>2256830040002656</t>
        </is>
      </c>
      <c r="BB943" t="inlineStr">
        <is>
          <t>BOOK</t>
        </is>
      </c>
      <c r="BD943" t="inlineStr">
        <is>
          <t>9780070653597</t>
        </is>
      </c>
      <c r="BE943" t="inlineStr">
        <is>
          <t>30001004217925</t>
        </is>
      </c>
      <c r="BF943" t="inlineStr">
        <is>
          <t>893732807</t>
        </is>
      </c>
    </row>
    <row r="944">
      <c r="A944" t="inlineStr">
        <is>
          <t>No</t>
        </is>
      </c>
      <c r="B944" t="inlineStr">
        <is>
          <t>CUHSL</t>
        </is>
      </c>
      <c r="C944" t="inlineStr">
        <is>
          <t>SHELVES</t>
        </is>
      </c>
      <c r="D944" t="inlineStr">
        <is>
          <t>W 100 F962 1974</t>
        </is>
      </c>
      <c r="E944" t="inlineStr">
        <is>
          <t>0                      W  0100000F  962         1974</t>
        </is>
      </c>
      <c r="F944" t="inlineStr">
        <is>
          <t>Medical care systems : public and private health coverage in selected industrialized countries / Derick Fulcher.</t>
        </is>
      </c>
      <c r="H944" t="inlineStr">
        <is>
          <t>No</t>
        </is>
      </c>
      <c r="I944" t="inlineStr">
        <is>
          <t>1</t>
        </is>
      </c>
      <c r="J944" t="inlineStr">
        <is>
          <t>No</t>
        </is>
      </c>
      <c r="K944" t="inlineStr">
        <is>
          <t>No</t>
        </is>
      </c>
      <c r="L944" t="inlineStr">
        <is>
          <t>0</t>
        </is>
      </c>
      <c r="M944" t="inlineStr">
        <is>
          <t>Fulcher, Derick.</t>
        </is>
      </c>
      <c r="N944" t="inlineStr">
        <is>
          <t>Geneva : International Labour Office, 1974.</t>
        </is>
      </c>
      <c r="O944" t="inlineStr">
        <is>
          <t>1974</t>
        </is>
      </c>
      <c r="Q944" t="inlineStr">
        <is>
          <t>eng</t>
        </is>
      </c>
      <c r="R944" t="inlineStr">
        <is>
          <t xml:space="preserve">sz </t>
        </is>
      </c>
      <c r="T944" t="inlineStr">
        <is>
          <t xml:space="preserve">W  </t>
        </is>
      </c>
      <c r="U944" t="n">
        <v>2</v>
      </c>
      <c r="V944" t="n">
        <v>2</v>
      </c>
      <c r="W944" t="inlineStr">
        <is>
          <t>1992-11-21</t>
        </is>
      </c>
      <c r="X944" t="inlineStr">
        <is>
          <t>1992-11-21</t>
        </is>
      </c>
      <c r="Y944" t="inlineStr">
        <is>
          <t>1988-01-05</t>
        </is>
      </c>
      <c r="Z944" t="inlineStr">
        <is>
          <t>1988-01-05</t>
        </is>
      </c>
      <c r="AA944" t="n">
        <v>186</v>
      </c>
      <c r="AB944" t="n">
        <v>115</v>
      </c>
      <c r="AC944" t="n">
        <v>116</v>
      </c>
      <c r="AD944" t="n">
        <v>2</v>
      </c>
      <c r="AE944" t="n">
        <v>2</v>
      </c>
      <c r="AF944" t="n">
        <v>5</v>
      </c>
      <c r="AG944" t="n">
        <v>5</v>
      </c>
      <c r="AH944" t="n">
        <v>1</v>
      </c>
      <c r="AI944" t="n">
        <v>1</v>
      </c>
      <c r="AJ944" t="n">
        <v>1</v>
      </c>
      <c r="AK944" t="n">
        <v>1</v>
      </c>
      <c r="AL944" t="n">
        <v>1</v>
      </c>
      <c r="AM944" t="n">
        <v>1</v>
      </c>
      <c r="AN944" t="n">
        <v>1</v>
      </c>
      <c r="AO944" t="n">
        <v>1</v>
      </c>
      <c r="AP944" t="n">
        <v>2</v>
      </c>
      <c r="AQ944" t="n">
        <v>2</v>
      </c>
      <c r="AR944" t="inlineStr">
        <is>
          <t>No</t>
        </is>
      </c>
      <c r="AS944" t="inlineStr">
        <is>
          <t>Yes</t>
        </is>
      </c>
      <c r="AT944">
        <f>HYPERLINK("http://catalog.hathitrust.org/Record/001558640","HathiTrust Record")</f>
        <v/>
      </c>
      <c r="AU944">
        <f>HYPERLINK("https://creighton-primo.hosted.exlibrisgroup.com/primo-explore/search?tab=default_tab&amp;search_scope=EVERYTHING&amp;vid=01CRU&amp;lang=en_US&amp;offset=0&amp;query=any,contains,991000662519702656","Catalog Record")</f>
        <v/>
      </c>
      <c r="AV944">
        <f>HYPERLINK("http://www.worldcat.org/oclc/3090287","WorldCat Record")</f>
        <v/>
      </c>
      <c r="AW944" t="inlineStr">
        <is>
          <t>798044117:eng</t>
        </is>
      </c>
      <c r="AX944" t="inlineStr">
        <is>
          <t>3090287</t>
        </is>
      </c>
      <c r="AY944" t="inlineStr">
        <is>
          <t>991000662519702656</t>
        </is>
      </c>
      <c r="AZ944" t="inlineStr">
        <is>
          <t>991000662519702656</t>
        </is>
      </c>
      <c r="BA944" t="inlineStr">
        <is>
          <t>2260540950002656</t>
        </is>
      </c>
      <c r="BB944" t="inlineStr">
        <is>
          <t>BOOK</t>
        </is>
      </c>
      <c r="BD944" t="inlineStr">
        <is>
          <t>9789221011606</t>
        </is>
      </c>
      <c r="BE944" t="inlineStr">
        <is>
          <t>30001000688830</t>
        </is>
      </c>
      <c r="BF944" t="inlineStr">
        <is>
          <t>893825349</t>
        </is>
      </c>
    </row>
    <row r="945">
      <c r="A945" t="inlineStr">
        <is>
          <t>No</t>
        </is>
      </c>
      <c r="B945" t="inlineStr">
        <is>
          <t>CUHSL</t>
        </is>
      </c>
      <c r="C945" t="inlineStr">
        <is>
          <t>SHELVES</t>
        </is>
      </c>
      <c r="D945" t="inlineStr">
        <is>
          <t>W 100 G548h 1991</t>
        </is>
      </c>
      <c r="E945" t="inlineStr">
        <is>
          <t>0                      W  0100000G  548h        1991</t>
        </is>
      </c>
      <c r="F945" t="inlineStr">
        <is>
          <t>Health insurance in practice : international variations in financing, benefits, and problems / William A. Glaser.</t>
        </is>
      </c>
      <c r="H945" t="inlineStr">
        <is>
          <t>No</t>
        </is>
      </c>
      <c r="I945" t="inlineStr">
        <is>
          <t>1</t>
        </is>
      </c>
      <c r="J945" t="inlineStr">
        <is>
          <t>No</t>
        </is>
      </c>
      <c r="K945" t="inlineStr">
        <is>
          <t>No</t>
        </is>
      </c>
      <c r="L945" t="inlineStr">
        <is>
          <t>0</t>
        </is>
      </c>
      <c r="M945" t="inlineStr">
        <is>
          <t>Glaser, William A.</t>
        </is>
      </c>
      <c r="N945" t="inlineStr">
        <is>
          <t>San Francisco : Jossey-Bass Publishers, c1991.</t>
        </is>
      </c>
      <c r="O945" t="inlineStr">
        <is>
          <t>1991</t>
        </is>
      </c>
      <c r="P945" t="inlineStr">
        <is>
          <t>1st ed.</t>
        </is>
      </c>
      <c r="Q945" t="inlineStr">
        <is>
          <t>eng</t>
        </is>
      </c>
      <c r="R945" t="inlineStr">
        <is>
          <t>cau</t>
        </is>
      </c>
      <c r="S945" t="inlineStr">
        <is>
          <t>The Jossey-Bass health series.</t>
        </is>
      </c>
      <c r="T945" t="inlineStr">
        <is>
          <t xml:space="preserve">W  </t>
        </is>
      </c>
      <c r="U945" t="n">
        <v>8</v>
      </c>
      <c r="V945" t="n">
        <v>8</v>
      </c>
      <c r="W945" t="inlineStr">
        <is>
          <t>1996-10-08</t>
        </is>
      </c>
      <c r="X945" t="inlineStr">
        <is>
          <t>1996-10-08</t>
        </is>
      </c>
      <c r="Y945" t="inlineStr">
        <is>
          <t>1991-12-06</t>
        </is>
      </c>
      <c r="Z945" t="inlineStr">
        <is>
          <t>1991-12-06</t>
        </is>
      </c>
      <c r="AA945" t="n">
        <v>376</v>
      </c>
      <c r="AB945" t="n">
        <v>299</v>
      </c>
      <c r="AC945" t="n">
        <v>305</v>
      </c>
      <c r="AD945" t="n">
        <v>2</v>
      </c>
      <c r="AE945" t="n">
        <v>2</v>
      </c>
      <c r="AF945" t="n">
        <v>16</v>
      </c>
      <c r="AG945" t="n">
        <v>16</v>
      </c>
      <c r="AH945" t="n">
        <v>6</v>
      </c>
      <c r="AI945" t="n">
        <v>6</v>
      </c>
      <c r="AJ945" t="n">
        <v>5</v>
      </c>
      <c r="AK945" t="n">
        <v>5</v>
      </c>
      <c r="AL945" t="n">
        <v>7</v>
      </c>
      <c r="AM945" t="n">
        <v>7</v>
      </c>
      <c r="AN945" t="n">
        <v>1</v>
      </c>
      <c r="AO945" t="n">
        <v>1</v>
      </c>
      <c r="AP945" t="n">
        <v>1</v>
      </c>
      <c r="AQ945" t="n">
        <v>1</v>
      </c>
      <c r="AR945" t="inlineStr">
        <is>
          <t>No</t>
        </is>
      </c>
      <c r="AS945" t="inlineStr">
        <is>
          <t>No</t>
        </is>
      </c>
      <c r="AU945">
        <f>HYPERLINK("https://creighton-primo.hosted.exlibrisgroup.com/primo-explore/search?tab=default_tab&amp;search_scope=EVERYTHING&amp;vid=01CRU&amp;lang=en_US&amp;offset=0&amp;query=any,contains,991001023629702656","Catalog Record")</f>
        <v/>
      </c>
      <c r="AV945">
        <f>HYPERLINK("http://www.worldcat.org/oclc/23287869","WorldCat Record")</f>
        <v/>
      </c>
      <c r="AW945" t="inlineStr">
        <is>
          <t>836841809:eng</t>
        </is>
      </c>
      <c r="AX945" t="inlineStr">
        <is>
          <t>23287869</t>
        </is>
      </c>
      <c r="AY945" t="inlineStr">
        <is>
          <t>991001023629702656</t>
        </is>
      </c>
      <c r="AZ945" t="inlineStr">
        <is>
          <t>991001023629702656</t>
        </is>
      </c>
      <c r="BA945" t="inlineStr">
        <is>
          <t>2271953880002656</t>
        </is>
      </c>
      <c r="BB945" t="inlineStr">
        <is>
          <t>BOOK</t>
        </is>
      </c>
      <c r="BD945" t="inlineStr">
        <is>
          <t>9781555423735</t>
        </is>
      </c>
      <c r="BE945" t="inlineStr">
        <is>
          <t>30001002242305</t>
        </is>
      </c>
      <c r="BF945" t="inlineStr">
        <is>
          <t>893731606</t>
        </is>
      </c>
    </row>
    <row r="946">
      <c r="A946" t="inlineStr">
        <is>
          <t>No</t>
        </is>
      </c>
      <c r="B946" t="inlineStr">
        <is>
          <t>CUHSL</t>
        </is>
      </c>
      <c r="C946" t="inlineStr">
        <is>
          <t>SHELVES</t>
        </is>
      </c>
      <c r="D946" t="inlineStr">
        <is>
          <t>W 100 M478s 1994</t>
        </is>
      </c>
      <c r="E946" t="inlineStr">
        <is>
          <t>0                      W  0100000M  478s        1994</t>
        </is>
      </c>
      <c r="F946" t="inlineStr">
        <is>
          <t>Small business and health care reform : understanding the barriers to employee coverage and implications for workable solutions / by Catherine G. McLaughlin, Wendy K. Zellers.</t>
        </is>
      </c>
      <c r="H946" t="inlineStr">
        <is>
          <t>No</t>
        </is>
      </c>
      <c r="I946" t="inlineStr">
        <is>
          <t>1</t>
        </is>
      </c>
      <c r="J946" t="inlineStr">
        <is>
          <t>No</t>
        </is>
      </c>
      <c r="K946" t="inlineStr">
        <is>
          <t>No</t>
        </is>
      </c>
      <c r="L946" t="inlineStr">
        <is>
          <t>0</t>
        </is>
      </c>
      <c r="M946" t="inlineStr">
        <is>
          <t>McLaughlin, Catherine G.</t>
        </is>
      </c>
      <c r="N946" t="inlineStr">
        <is>
          <t>[Ann Arbor] : Regents of the University of Michigan, School of Public Health, c1994.</t>
        </is>
      </c>
      <c r="O946" t="inlineStr">
        <is>
          <t>1994</t>
        </is>
      </c>
      <c r="Q946" t="inlineStr">
        <is>
          <t>eng</t>
        </is>
      </c>
      <c r="R946" t="inlineStr">
        <is>
          <t>miu</t>
        </is>
      </c>
      <c r="T946" t="inlineStr">
        <is>
          <t xml:space="preserve">W  </t>
        </is>
      </c>
      <c r="U946" t="n">
        <v>5</v>
      </c>
      <c r="V946" t="n">
        <v>5</v>
      </c>
      <c r="W946" t="inlineStr">
        <is>
          <t>2001-06-14</t>
        </is>
      </c>
      <c r="X946" t="inlineStr">
        <is>
          <t>2001-06-14</t>
        </is>
      </c>
      <c r="Y946" t="inlineStr">
        <is>
          <t>1994-09-07</t>
        </is>
      </c>
      <c r="Z946" t="inlineStr">
        <is>
          <t>1994-09-07</t>
        </is>
      </c>
      <c r="AA946" t="n">
        <v>44</v>
      </c>
      <c r="AB946" t="n">
        <v>44</v>
      </c>
      <c r="AC946" t="n">
        <v>44</v>
      </c>
      <c r="AD946" t="n">
        <v>1</v>
      </c>
      <c r="AE946" t="n">
        <v>1</v>
      </c>
      <c r="AF946" t="n">
        <v>1</v>
      </c>
      <c r="AG946" t="n">
        <v>1</v>
      </c>
      <c r="AH946" t="n">
        <v>0</v>
      </c>
      <c r="AI946" t="n">
        <v>0</v>
      </c>
      <c r="AJ946" t="n">
        <v>0</v>
      </c>
      <c r="AK946" t="n">
        <v>0</v>
      </c>
      <c r="AL946" t="n">
        <v>1</v>
      </c>
      <c r="AM946" t="n">
        <v>1</v>
      </c>
      <c r="AN946" t="n">
        <v>0</v>
      </c>
      <c r="AO946" t="n">
        <v>0</v>
      </c>
      <c r="AP946" t="n">
        <v>0</v>
      </c>
      <c r="AQ946" t="n">
        <v>0</v>
      </c>
      <c r="AR946" t="inlineStr">
        <is>
          <t>No</t>
        </is>
      </c>
      <c r="AS946" t="inlineStr">
        <is>
          <t>No</t>
        </is>
      </c>
      <c r="AU946">
        <f>HYPERLINK("https://creighton-primo.hosted.exlibrisgroup.com/primo-explore/search?tab=default_tab&amp;search_scope=EVERYTHING&amp;vid=01CRU&amp;lang=en_US&amp;offset=0&amp;query=any,contains,991000674659702656","Catalog Record")</f>
        <v/>
      </c>
      <c r="AV946">
        <f>HYPERLINK("http://www.worldcat.org/oclc/30503363","WorldCat Record")</f>
        <v/>
      </c>
      <c r="AW946" t="inlineStr">
        <is>
          <t>14981701:eng</t>
        </is>
      </c>
      <c r="AX946" t="inlineStr">
        <is>
          <t>30503363</t>
        </is>
      </c>
      <c r="AY946" t="inlineStr">
        <is>
          <t>991000674659702656</t>
        </is>
      </c>
      <c r="AZ946" t="inlineStr">
        <is>
          <t>991000674659702656</t>
        </is>
      </c>
      <c r="BA946" t="inlineStr">
        <is>
          <t>2269382150002656</t>
        </is>
      </c>
      <c r="BB946" t="inlineStr">
        <is>
          <t>BOOK</t>
        </is>
      </c>
      <c r="BE946" t="inlineStr">
        <is>
          <t>30001002696534</t>
        </is>
      </c>
      <c r="BF946" t="inlineStr">
        <is>
          <t>893556839</t>
        </is>
      </c>
    </row>
    <row r="947">
      <c r="A947" t="inlineStr">
        <is>
          <t>No</t>
        </is>
      </c>
      <c r="B947" t="inlineStr">
        <is>
          <t>CUHSL</t>
        </is>
      </c>
      <c r="C947" t="inlineStr">
        <is>
          <t>SHELVES</t>
        </is>
      </c>
      <c r="D947" t="inlineStr">
        <is>
          <t>W 100 P344 1992</t>
        </is>
      </c>
      <c r="E947" t="inlineStr">
        <is>
          <t>0                      W  0100000P  344         1992</t>
        </is>
      </c>
      <c r="F947" t="inlineStr">
        <is>
          <t>Paying for health care : public policy choices for Illinois / edited by Lawrence B. Joseph.</t>
        </is>
      </c>
      <c r="H947" t="inlineStr">
        <is>
          <t>No</t>
        </is>
      </c>
      <c r="I947" t="inlineStr">
        <is>
          <t>1</t>
        </is>
      </c>
      <c r="J947" t="inlineStr">
        <is>
          <t>No</t>
        </is>
      </c>
      <c r="K947" t="inlineStr">
        <is>
          <t>No</t>
        </is>
      </c>
      <c r="L947" t="inlineStr">
        <is>
          <t>0</t>
        </is>
      </c>
      <c r="N947" t="inlineStr">
        <is>
          <t>Chicago, IL : Center for Urban Research and Policy Studies, University of Chicago ; Champaign, IL : Distributed by University of Illinois Press, c1992.</t>
        </is>
      </c>
      <c r="O947" t="inlineStr">
        <is>
          <t>1992</t>
        </is>
      </c>
      <c r="Q947" t="inlineStr">
        <is>
          <t>eng</t>
        </is>
      </c>
      <c r="R947" t="inlineStr">
        <is>
          <t>ilu</t>
        </is>
      </c>
      <c r="T947" t="inlineStr">
        <is>
          <t xml:space="preserve">W  </t>
        </is>
      </c>
      <c r="U947" t="n">
        <v>10</v>
      </c>
      <c r="V947" t="n">
        <v>10</v>
      </c>
      <c r="W947" t="inlineStr">
        <is>
          <t>1996-10-08</t>
        </is>
      </c>
      <c r="X947" t="inlineStr">
        <is>
          <t>1996-10-08</t>
        </is>
      </c>
      <c r="Y947" t="inlineStr">
        <is>
          <t>1992-08-24</t>
        </is>
      </c>
      <c r="Z947" t="inlineStr">
        <is>
          <t>1992-08-24</t>
        </is>
      </c>
      <c r="AA947" t="n">
        <v>100</v>
      </c>
      <c r="AB947" t="n">
        <v>90</v>
      </c>
      <c r="AC947" t="n">
        <v>90</v>
      </c>
      <c r="AD947" t="n">
        <v>2</v>
      </c>
      <c r="AE947" t="n">
        <v>2</v>
      </c>
      <c r="AF947" t="n">
        <v>9</v>
      </c>
      <c r="AG947" t="n">
        <v>9</v>
      </c>
      <c r="AH947" t="n">
        <v>0</v>
      </c>
      <c r="AI947" t="n">
        <v>0</v>
      </c>
      <c r="AJ947" t="n">
        <v>2</v>
      </c>
      <c r="AK947" t="n">
        <v>2</v>
      </c>
      <c r="AL947" t="n">
        <v>1</v>
      </c>
      <c r="AM947" t="n">
        <v>1</v>
      </c>
      <c r="AN947" t="n">
        <v>1</v>
      </c>
      <c r="AO947" t="n">
        <v>1</v>
      </c>
      <c r="AP947" t="n">
        <v>6</v>
      </c>
      <c r="AQ947" t="n">
        <v>6</v>
      </c>
      <c r="AR947" t="inlineStr">
        <is>
          <t>No</t>
        </is>
      </c>
      <c r="AS947" t="inlineStr">
        <is>
          <t>No</t>
        </is>
      </c>
      <c r="AU947">
        <f>HYPERLINK("https://creighton-primo.hosted.exlibrisgroup.com/primo-explore/search?tab=default_tab&amp;search_scope=EVERYTHING&amp;vid=01CRU&amp;lang=en_US&amp;offset=0&amp;query=any,contains,991001340689702656","Catalog Record")</f>
        <v/>
      </c>
      <c r="AV947">
        <f>HYPERLINK("http://www.worldcat.org/oclc/29703739","WorldCat Record")</f>
        <v/>
      </c>
      <c r="AW947" t="inlineStr">
        <is>
          <t>31704333:eng</t>
        </is>
      </c>
      <c r="AX947" t="inlineStr">
        <is>
          <t>29703739</t>
        </is>
      </c>
      <c r="AY947" t="inlineStr">
        <is>
          <t>991001340689702656</t>
        </is>
      </c>
      <c r="AZ947" t="inlineStr">
        <is>
          <t>991001340689702656</t>
        </is>
      </c>
      <c r="BA947" t="inlineStr">
        <is>
          <t>2257252550002656</t>
        </is>
      </c>
      <c r="BB947" t="inlineStr">
        <is>
          <t>BOOK</t>
        </is>
      </c>
      <c r="BD947" t="inlineStr">
        <is>
          <t>9780962675515</t>
        </is>
      </c>
      <c r="BE947" t="inlineStr">
        <is>
          <t>30001002455634</t>
        </is>
      </c>
      <c r="BF947" t="inlineStr">
        <is>
          <t>893741050</t>
        </is>
      </c>
    </row>
    <row r="948">
      <c r="A948" t="inlineStr">
        <is>
          <t>No</t>
        </is>
      </c>
      <c r="B948" t="inlineStr">
        <is>
          <t>CUHSL</t>
        </is>
      </c>
      <c r="C948" t="inlineStr">
        <is>
          <t>SHELVES</t>
        </is>
      </c>
      <c r="D948" t="inlineStr">
        <is>
          <t>W 100 T836c 1991</t>
        </is>
      </c>
      <c r="E948" t="inlineStr">
        <is>
          <t>0                      W  0100000T  836c        1991</t>
        </is>
      </c>
      <c r="F948" t="inlineStr">
        <is>
          <t>Comprehensive health insurance for high risk individuals : a state-by-state analysis / by Aaron K. Trippler.</t>
        </is>
      </c>
      <c r="H948" t="inlineStr">
        <is>
          <t>No</t>
        </is>
      </c>
      <c r="I948" t="inlineStr">
        <is>
          <t>1</t>
        </is>
      </c>
      <c r="J948" t="inlineStr">
        <is>
          <t>No</t>
        </is>
      </c>
      <c r="K948" t="inlineStr">
        <is>
          <t>No</t>
        </is>
      </c>
      <c r="L948" t="inlineStr">
        <is>
          <t>0</t>
        </is>
      </c>
      <c r="M948" t="inlineStr">
        <is>
          <t>Trippler, Aaron K.</t>
        </is>
      </c>
      <c r="N948" t="inlineStr">
        <is>
          <t>Bloomington, MN : Communicating for Agriculture, 1991.</t>
        </is>
      </c>
      <c r="O948" t="inlineStr">
        <is>
          <t>1991</t>
        </is>
      </c>
      <c r="P948" t="inlineStr">
        <is>
          <t>5th ed.</t>
        </is>
      </c>
      <c r="Q948" t="inlineStr">
        <is>
          <t>eng</t>
        </is>
      </c>
      <c r="R948" t="inlineStr">
        <is>
          <t>mnu</t>
        </is>
      </c>
      <c r="T948" t="inlineStr">
        <is>
          <t xml:space="preserve">W  </t>
        </is>
      </c>
      <c r="U948" t="n">
        <v>9</v>
      </c>
      <c r="V948" t="n">
        <v>9</v>
      </c>
      <c r="W948" t="inlineStr">
        <is>
          <t>2001-09-23</t>
        </is>
      </c>
      <c r="X948" t="inlineStr">
        <is>
          <t>2001-09-23</t>
        </is>
      </c>
      <c r="Y948" t="inlineStr">
        <is>
          <t>1991-09-25</t>
        </is>
      </c>
      <c r="Z948" t="inlineStr">
        <is>
          <t>1991-09-25</t>
        </is>
      </c>
      <c r="AA948" t="n">
        <v>6</v>
      </c>
      <c r="AB948" t="n">
        <v>6</v>
      </c>
      <c r="AC948" t="n">
        <v>23</v>
      </c>
      <c r="AD948" t="n">
        <v>1</v>
      </c>
      <c r="AE948" t="n">
        <v>2</v>
      </c>
      <c r="AF948" t="n">
        <v>0</v>
      </c>
      <c r="AG948" t="n">
        <v>0</v>
      </c>
      <c r="AH948" t="n">
        <v>0</v>
      </c>
      <c r="AI948" t="n">
        <v>0</v>
      </c>
      <c r="AJ948" t="n">
        <v>0</v>
      </c>
      <c r="AK948" t="n">
        <v>0</v>
      </c>
      <c r="AL948" t="n">
        <v>0</v>
      </c>
      <c r="AM948" t="n">
        <v>0</v>
      </c>
      <c r="AN948" t="n">
        <v>0</v>
      </c>
      <c r="AO948" t="n">
        <v>0</v>
      </c>
      <c r="AP948" t="n">
        <v>0</v>
      </c>
      <c r="AQ948" t="n">
        <v>0</v>
      </c>
      <c r="AR948" t="inlineStr">
        <is>
          <t>No</t>
        </is>
      </c>
      <c r="AS948" t="inlineStr">
        <is>
          <t>No</t>
        </is>
      </c>
      <c r="AU948">
        <f>HYPERLINK("https://creighton-primo.hosted.exlibrisgroup.com/primo-explore/search?tab=default_tab&amp;search_scope=EVERYTHING&amp;vid=01CRU&amp;lang=en_US&amp;offset=0&amp;query=any,contains,991000947649702656","Catalog Record")</f>
        <v/>
      </c>
      <c r="AV948">
        <f>HYPERLINK("http://www.worldcat.org/oclc/24649866","WorldCat Record")</f>
        <v/>
      </c>
      <c r="AW948" t="inlineStr">
        <is>
          <t>55685993:eng</t>
        </is>
      </c>
      <c r="AX948" t="inlineStr">
        <is>
          <t>24649866</t>
        </is>
      </c>
      <c r="AY948" t="inlineStr">
        <is>
          <t>991000947649702656</t>
        </is>
      </c>
      <c r="AZ948" t="inlineStr">
        <is>
          <t>991000947649702656</t>
        </is>
      </c>
      <c r="BA948" t="inlineStr">
        <is>
          <t>2262574840002656</t>
        </is>
      </c>
      <c r="BB948" t="inlineStr">
        <is>
          <t>BOOK</t>
        </is>
      </c>
      <c r="BE948" t="inlineStr">
        <is>
          <t>30001002194217</t>
        </is>
      </c>
      <c r="BF948" t="inlineStr">
        <is>
          <t>893560779</t>
        </is>
      </c>
    </row>
    <row r="949">
      <c r="A949" t="inlineStr">
        <is>
          <t>No</t>
        </is>
      </c>
      <c r="B949" t="inlineStr">
        <is>
          <t>CUHSL</t>
        </is>
      </c>
      <c r="C949" t="inlineStr">
        <is>
          <t>SHELVES</t>
        </is>
      </c>
      <c r="D949" t="inlineStr">
        <is>
          <t>W 100 W454e 1989</t>
        </is>
      </c>
      <c r="E949" t="inlineStr">
        <is>
          <t>0                      W  0100000W  454e        1989</t>
        </is>
      </c>
      <c r="F949" t="inlineStr">
        <is>
          <t>The effects of insurance generosity on the psychological distress and well-being of a general population : results from a randomized trial of insurance / Kenneth B. Wells, Willard G. Manning, Jr., R. Burciaga Valdez.</t>
        </is>
      </c>
      <c r="H949" t="inlineStr">
        <is>
          <t>No</t>
        </is>
      </c>
      <c r="I949" t="inlineStr">
        <is>
          <t>1</t>
        </is>
      </c>
      <c r="J949" t="inlineStr">
        <is>
          <t>No</t>
        </is>
      </c>
      <c r="K949" t="inlineStr">
        <is>
          <t>No</t>
        </is>
      </c>
      <c r="L949" t="inlineStr">
        <is>
          <t>0</t>
        </is>
      </c>
      <c r="M949" t="inlineStr">
        <is>
          <t>Wells, Kenneth B., 1948-</t>
        </is>
      </c>
      <c r="N949" t="inlineStr">
        <is>
          <t>Santa Monica, CA : Rand, 1989.</t>
        </is>
      </c>
      <c r="O949" t="inlineStr">
        <is>
          <t>1989</t>
        </is>
      </c>
      <c r="Q949" t="inlineStr">
        <is>
          <t>eng</t>
        </is>
      </c>
      <c r="R949" t="inlineStr">
        <is>
          <t>cau</t>
        </is>
      </c>
      <c r="S949" t="inlineStr">
        <is>
          <t>[Rand report] ; R-3682</t>
        </is>
      </c>
      <c r="T949" t="inlineStr">
        <is>
          <t xml:space="preserve">W  </t>
        </is>
      </c>
      <c r="U949" t="n">
        <v>2</v>
      </c>
      <c r="V949" t="n">
        <v>2</v>
      </c>
      <c r="W949" t="inlineStr">
        <is>
          <t>1990-02-06</t>
        </is>
      </c>
      <c r="X949" t="inlineStr">
        <is>
          <t>1990-02-06</t>
        </is>
      </c>
      <c r="Y949" t="inlineStr">
        <is>
          <t>1990-02-06</t>
        </is>
      </c>
      <c r="Z949" t="inlineStr">
        <is>
          <t>1990-02-06</t>
        </is>
      </c>
      <c r="AA949" t="n">
        <v>97</v>
      </c>
      <c r="AB949" t="n">
        <v>91</v>
      </c>
      <c r="AC949" t="n">
        <v>105</v>
      </c>
      <c r="AD949" t="n">
        <v>2</v>
      </c>
      <c r="AE949" t="n">
        <v>2</v>
      </c>
      <c r="AF949" t="n">
        <v>3</v>
      </c>
      <c r="AG949" t="n">
        <v>3</v>
      </c>
      <c r="AH949" t="n">
        <v>0</v>
      </c>
      <c r="AI949" t="n">
        <v>0</v>
      </c>
      <c r="AJ949" t="n">
        <v>1</v>
      </c>
      <c r="AK949" t="n">
        <v>1</v>
      </c>
      <c r="AL949" t="n">
        <v>2</v>
      </c>
      <c r="AM949" t="n">
        <v>2</v>
      </c>
      <c r="AN949" t="n">
        <v>1</v>
      </c>
      <c r="AO949" t="n">
        <v>1</v>
      </c>
      <c r="AP949" t="n">
        <v>0</v>
      </c>
      <c r="AQ949" t="n">
        <v>0</v>
      </c>
      <c r="AR949" t="inlineStr">
        <is>
          <t>No</t>
        </is>
      </c>
      <c r="AS949" t="inlineStr">
        <is>
          <t>No</t>
        </is>
      </c>
      <c r="AU949">
        <f>HYPERLINK("https://creighton-primo.hosted.exlibrisgroup.com/primo-explore/search?tab=default_tab&amp;search_scope=EVERYTHING&amp;vid=01CRU&amp;lang=en_US&amp;offset=0&amp;query=any,contains,991001441269702656","Catalog Record")</f>
        <v/>
      </c>
      <c r="AV949">
        <f>HYPERLINK("http://www.worldcat.org/oclc/20458835","WorldCat Record")</f>
        <v/>
      </c>
      <c r="AW949" t="inlineStr">
        <is>
          <t>143794610:eng</t>
        </is>
      </c>
      <c r="AX949" t="inlineStr">
        <is>
          <t>20458835</t>
        </is>
      </c>
      <c r="AY949" t="inlineStr">
        <is>
          <t>991001441269702656</t>
        </is>
      </c>
      <c r="AZ949" t="inlineStr">
        <is>
          <t>991001441269702656</t>
        </is>
      </c>
      <c r="BA949" t="inlineStr">
        <is>
          <t>2258612080002656</t>
        </is>
      </c>
      <c r="BB949" t="inlineStr">
        <is>
          <t>BOOK</t>
        </is>
      </c>
      <c r="BD949" t="inlineStr">
        <is>
          <t>9780833009791</t>
        </is>
      </c>
      <c r="BE949" t="inlineStr">
        <is>
          <t>30001001878372</t>
        </is>
      </c>
      <c r="BF949" t="inlineStr">
        <is>
          <t>893284824</t>
        </is>
      </c>
    </row>
    <row r="950">
      <c r="A950" t="inlineStr">
        <is>
          <t>No</t>
        </is>
      </c>
      <c r="B950" t="inlineStr">
        <is>
          <t>CUHSL</t>
        </is>
      </c>
      <c r="C950" t="inlineStr">
        <is>
          <t>SHELVES</t>
        </is>
      </c>
      <c r="D950" t="inlineStr">
        <is>
          <t>W 102 T355 2004</t>
        </is>
      </c>
      <c r="E950" t="inlineStr">
        <is>
          <t>0                      W  0102000T  355         2004</t>
        </is>
      </c>
      <c r="F950" t="inlineStr">
        <is>
          <t>Textbook of biological psychiatry / edited by Jaak Panksepp.</t>
        </is>
      </c>
      <c r="H950" t="inlineStr">
        <is>
          <t>No</t>
        </is>
      </c>
      <c r="I950" t="inlineStr">
        <is>
          <t>1</t>
        </is>
      </c>
      <c r="J950" t="inlineStr">
        <is>
          <t>No</t>
        </is>
      </c>
      <c r="K950" t="inlineStr">
        <is>
          <t>No</t>
        </is>
      </c>
      <c r="L950" t="inlineStr">
        <is>
          <t>0</t>
        </is>
      </c>
      <c r="N950" t="inlineStr">
        <is>
          <t>Hoboken, N.J. : Wiley-Liss, c2004.</t>
        </is>
      </c>
      <c r="O950" t="inlineStr">
        <is>
          <t>2004</t>
        </is>
      </c>
      <c r="Q950" t="inlineStr">
        <is>
          <t>eng</t>
        </is>
      </c>
      <c r="R950" t="inlineStr">
        <is>
          <t>nju</t>
        </is>
      </c>
      <c r="T950" t="inlineStr">
        <is>
          <t xml:space="preserve">W  </t>
        </is>
      </c>
      <c r="U950" t="n">
        <v>10</v>
      </c>
      <c r="V950" t="n">
        <v>10</v>
      </c>
      <c r="W950" t="inlineStr">
        <is>
          <t>2008-12-01</t>
        </is>
      </c>
      <c r="X950" t="inlineStr">
        <is>
          <t>2008-12-01</t>
        </is>
      </c>
      <c r="Y950" t="inlineStr">
        <is>
          <t>2004-10-08</t>
        </is>
      </c>
      <c r="Z950" t="inlineStr">
        <is>
          <t>2004-10-08</t>
        </is>
      </c>
      <c r="AA950" t="n">
        <v>153</v>
      </c>
      <c r="AB950" t="n">
        <v>101</v>
      </c>
      <c r="AC950" t="n">
        <v>1063</v>
      </c>
      <c r="AD950" t="n">
        <v>1</v>
      </c>
      <c r="AE950" t="n">
        <v>27</v>
      </c>
      <c r="AF950" t="n">
        <v>3</v>
      </c>
      <c r="AG950" t="n">
        <v>38</v>
      </c>
      <c r="AH950" t="n">
        <v>1</v>
      </c>
      <c r="AI950" t="n">
        <v>13</v>
      </c>
      <c r="AJ950" t="n">
        <v>0</v>
      </c>
      <c r="AK950" t="n">
        <v>6</v>
      </c>
      <c r="AL950" t="n">
        <v>2</v>
      </c>
      <c r="AM950" t="n">
        <v>10</v>
      </c>
      <c r="AN950" t="n">
        <v>0</v>
      </c>
      <c r="AO950" t="n">
        <v>12</v>
      </c>
      <c r="AP950" t="n">
        <v>0</v>
      </c>
      <c r="AQ950" t="n">
        <v>1</v>
      </c>
      <c r="AR950" t="inlineStr">
        <is>
          <t>No</t>
        </is>
      </c>
      <c r="AS950" t="inlineStr">
        <is>
          <t>Yes</t>
        </is>
      </c>
      <c r="AT950">
        <f>HYPERLINK("http://catalog.hathitrust.org/Record/003882825","HathiTrust Record")</f>
        <v/>
      </c>
      <c r="AU950">
        <f>HYPERLINK("https://creighton-primo.hosted.exlibrisgroup.com/primo-explore/search?tab=default_tab&amp;search_scope=EVERYTHING&amp;vid=01CRU&amp;lang=en_US&amp;offset=0&amp;query=any,contains,991000400189702656","Catalog Record")</f>
        <v/>
      </c>
      <c r="AV950">
        <f>HYPERLINK("http://www.worldcat.org/oclc/51924183","WorldCat Record")</f>
        <v/>
      </c>
      <c r="AW950" t="inlineStr">
        <is>
          <t>896228180:eng</t>
        </is>
      </c>
      <c r="AX950" t="inlineStr">
        <is>
          <t>51924183</t>
        </is>
      </c>
      <c r="AY950" t="inlineStr">
        <is>
          <t>991000400189702656</t>
        </is>
      </c>
      <c r="AZ950" t="inlineStr">
        <is>
          <t>991000400189702656</t>
        </is>
      </c>
      <c r="BA950" t="inlineStr">
        <is>
          <t>2259862700002656</t>
        </is>
      </c>
      <c r="BB950" t="inlineStr">
        <is>
          <t>BOOK</t>
        </is>
      </c>
      <c r="BD950" t="inlineStr">
        <is>
          <t>9780471434788</t>
        </is>
      </c>
      <c r="BE950" t="inlineStr">
        <is>
          <t>30001004923902</t>
        </is>
      </c>
      <c r="BF950" t="inlineStr">
        <is>
          <t>893723424</t>
        </is>
      </c>
    </row>
    <row r="951">
      <c r="A951" t="inlineStr">
        <is>
          <t>No</t>
        </is>
      </c>
      <c r="B951" t="inlineStr">
        <is>
          <t>CUHSL</t>
        </is>
      </c>
      <c r="C951" t="inlineStr">
        <is>
          <t>SHELVES</t>
        </is>
      </c>
      <c r="D951" t="inlineStr">
        <is>
          <t>W 103 L933p 1999</t>
        </is>
      </c>
      <c r="E951" t="inlineStr">
        <is>
          <t>0                      W  0103000L  933p        1999</t>
        </is>
      </c>
      <c r="F951" t="inlineStr">
        <is>
          <t>A primer of biomechanics / George L. Lucas, Francis W. Cooke, Elizabeth A. Friis ; illustrations by Danielle Y. Chinn.</t>
        </is>
      </c>
      <c r="H951" t="inlineStr">
        <is>
          <t>No</t>
        </is>
      </c>
      <c r="I951" t="inlineStr">
        <is>
          <t>1</t>
        </is>
      </c>
      <c r="J951" t="inlineStr">
        <is>
          <t>No</t>
        </is>
      </c>
      <c r="K951" t="inlineStr">
        <is>
          <t>No</t>
        </is>
      </c>
      <c r="L951" t="inlineStr">
        <is>
          <t>0</t>
        </is>
      </c>
      <c r="M951" t="inlineStr">
        <is>
          <t>Lucas, George L.</t>
        </is>
      </c>
      <c r="N951" t="inlineStr">
        <is>
          <t>New York : Springer, c1999.</t>
        </is>
      </c>
      <c r="O951" t="inlineStr">
        <is>
          <t>1999</t>
        </is>
      </c>
      <c r="Q951" t="inlineStr">
        <is>
          <t>eng</t>
        </is>
      </c>
      <c r="R951" t="inlineStr">
        <is>
          <t>nyu</t>
        </is>
      </c>
      <c r="T951" t="inlineStr">
        <is>
          <t xml:space="preserve">W  </t>
        </is>
      </c>
      <c r="U951" t="n">
        <v>3</v>
      </c>
      <c r="V951" t="n">
        <v>3</v>
      </c>
      <c r="W951" t="inlineStr">
        <is>
          <t>1999-03-30</t>
        </is>
      </c>
      <c r="X951" t="inlineStr">
        <is>
          <t>1999-03-30</t>
        </is>
      </c>
      <c r="Y951" t="inlineStr">
        <is>
          <t>1999-02-16</t>
        </is>
      </c>
      <c r="Z951" t="inlineStr">
        <is>
          <t>1999-02-16</t>
        </is>
      </c>
      <c r="AA951" t="n">
        <v>333</v>
      </c>
      <c r="AB951" t="n">
        <v>267</v>
      </c>
      <c r="AC951" t="n">
        <v>288</v>
      </c>
      <c r="AD951" t="n">
        <v>2</v>
      </c>
      <c r="AE951" t="n">
        <v>2</v>
      </c>
      <c r="AF951" t="n">
        <v>11</v>
      </c>
      <c r="AG951" t="n">
        <v>12</v>
      </c>
      <c r="AH951" t="n">
        <v>5</v>
      </c>
      <c r="AI951" t="n">
        <v>5</v>
      </c>
      <c r="AJ951" t="n">
        <v>3</v>
      </c>
      <c r="AK951" t="n">
        <v>3</v>
      </c>
      <c r="AL951" t="n">
        <v>5</v>
      </c>
      <c r="AM951" t="n">
        <v>6</v>
      </c>
      <c r="AN951" t="n">
        <v>1</v>
      </c>
      <c r="AO951" t="n">
        <v>1</v>
      </c>
      <c r="AP951" t="n">
        <v>0</v>
      </c>
      <c r="AQ951" t="n">
        <v>0</v>
      </c>
      <c r="AR951" t="inlineStr">
        <is>
          <t>No</t>
        </is>
      </c>
      <c r="AS951" t="inlineStr">
        <is>
          <t>Yes</t>
        </is>
      </c>
      <c r="AT951">
        <f>HYPERLINK("http://catalog.hathitrust.org/Record/004007407","HathiTrust Record")</f>
        <v/>
      </c>
      <c r="AU951">
        <f>HYPERLINK("https://creighton-primo.hosted.exlibrisgroup.com/primo-explore/search?tab=default_tab&amp;search_scope=EVERYTHING&amp;vid=01CRU&amp;lang=en_US&amp;offset=0&amp;query=any,contains,991001532609702656","Catalog Record")</f>
        <v/>
      </c>
      <c r="AV951">
        <f>HYPERLINK("http://www.worldcat.org/oclc/38067654","WorldCat Record")</f>
        <v/>
      </c>
      <c r="AW951" t="inlineStr">
        <is>
          <t>536880:eng</t>
        </is>
      </c>
      <c r="AX951" t="inlineStr">
        <is>
          <t>38067654</t>
        </is>
      </c>
      <c r="AY951" t="inlineStr">
        <is>
          <t>991001532609702656</t>
        </is>
      </c>
      <c r="AZ951" t="inlineStr">
        <is>
          <t>991001532609702656</t>
        </is>
      </c>
      <c r="BA951" t="inlineStr">
        <is>
          <t>2260104920002656</t>
        </is>
      </c>
      <c r="BB951" t="inlineStr">
        <is>
          <t>BOOK</t>
        </is>
      </c>
      <c r="BD951" t="inlineStr">
        <is>
          <t>9780387984568</t>
        </is>
      </c>
      <c r="BE951" t="inlineStr">
        <is>
          <t>30001003961994</t>
        </is>
      </c>
      <c r="BF951" t="inlineStr">
        <is>
          <t>893134693</t>
        </is>
      </c>
    </row>
    <row r="952">
      <c r="A952" t="inlineStr">
        <is>
          <t>No</t>
        </is>
      </c>
      <c r="B952" t="inlineStr">
        <is>
          <t>CUHSL</t>
        </is>
      </c>
      <c r="C952" t="inlineStr">
        <is>
          <t>SHELVES</t>
        </is>
      </c>
      <c r="D952" t="inlineStr">
        <is>
          <t>W 130 AA1 B6m 1997</t>
        </is>
      </c>
      <c r="E952" t="inlineStr">
        <is>
          <t>0                      W  0130000AA 1                  B  6m          1997</t>
        </is>
      </c>
      <c r="F952" t="inlineStr">
        <is>
          <t>Managed care : made in America / Arnold Birenbaum.</t>
        </is>
      </c>
      <c r="H952" t="inlineStr">
        <is>
          <t>No</t>
        </is>
      </c>
      <c r="I952" t="inlineStr">
        <is>
          <t>1</t>
        </is>
      </c>
      <c r="J952" t="inlineStr">
        <is>
          <t>No</t>
        </is>
      </c>
      <c r="K952" t="inlineStr">
        <is>
          <t>No</t>
        </is>
      </c>
      <c r="L952" t="inlineStr">
        <is>
          <t>0</t>
        </is>
      </c>
      <c r="M952" t="inlineStr">
        <is>
          <t>Birenbaum, Arnold.</t>
        </is>
      </c>
      <c r="N952" t="inlineStr">
        <is>
          <t>Westport, Conn. : Praeger, 1997.</t>
        </is>
      </c>
      <c r="O952" t="inlineStr">
        <is>
          <t>1997</t>
        </is>
      </c>
      <c r="Q952" t="inlineStr">
        <is>
          <t>eng</t>
        </is>
      </c>
      <c r="R952" t="inlineStr">
        <is>
          <t>ctu</t>
        </is>
      </c>
      <c r="T952" t="inlineStr">
        <is>
          <t xml:space="preserve">W  </t>
        </is>
      </c>
      <c r="U952" t="n">
        <v>1</v>
      </c>
      <c r="V952" t="n">
        <v>1</v>
      </c>
      <c r="W952" t="inlineStr">
        <is>
          <t>2005-02-01</t>
        </is>
      </c>
      <c r="X952" t="inlineStr">
        <is>
          <t>2005-02-01</t>
        </is>
      </c>
      <c r="Y952" t="inlineStr">
        <is>
          <t>2004-09-24</t>
        </is>
      </c>
      <c r="Z952" t="inlineStr">
        <is>
          <t>2004-09-24</t>
        </is>
      </c>
      <c r="AA952" t="n">
        <v>495</v>
      </c>
      <c r="AB952" t="n">
        <v>463</v>
      </c>
      <c r="AC952" t="n">
        <v>478</v>
      </c>
      <c r="AD952" t="n">
        <v>2</v>
      </c>
      <c r="AE952" t="n">
        <v>2</v>
      </c>
      <c r="AF952" t="n">
        <v>19</v>
      </c>
      <c r="AG952" t="n">
        <v>19</v>
      </c>
      <c r="AH952" t="n">
        <v>7</v>
      </c>
      <c r="AI952" t="n">
        <v>7</v>
      </c>
      <c r="AJ952" t="n">
        <v>4</v>
      </c>
      <c r="AK952" t="n">
        <v>4</v>
      </c>
      <c r="AL952" t="n">
        <v>14</v>
      </c>
      <c r="AM952" t="n">
        <v>14</v>
      </c>
      <c r="AN952" t="n">
        <v>1</v>
      </c>
      <c r="AO952" t="n">
        <v>1</v>
      </c>
      <c r="AP952" t="n">
        <v>0</v>
      </c>
      <c r="AQ952" t="n">
        <v>0</v>
      </c>
      <c r="AR952" t="inlineStr">
        <is>
          <t>No</t>
        </is>
      </c>
      <c r="AS952" t="inlineStr">
        <is>
          <t>No</t>
        </is>
      </c>
      <c r="AU952">
        <f>HYPERLINK("https://creighton-primo.hosted.exlibrisgroup.com/primo-explore/search?tab=default_tab&amp;search_scope=EVERYTHING&amp;vid=01CRU&amp;lang=en_US&amp;offset=0&amp;query=any,contains,991000397249702656","Catalog Record")</f>
        <v/>
      </c>
      <c r="AV952">
        <f>HYPERLINK("http://www.worldcat.org/oclc/36316005","WorldCat Record")</f>
        <v/>
      </c>
      <c r="AW952" t="inlineStr">
        <is>
          <t>604699:eng</t>
        </is>
      </c>
      <c r="AX952" t="inlineStr">
        <is>
          <t>36316005</t>
        </is>
      </c>
      <c r="AY952" t="inlineStr">
        <is>
          <t>991000397249702656</t>
        </is>
      </c>
      <c r="AZ952" t="inlineStr">
        <is>
          <t>991000397249702656</t>
        </is>
      </c>
      <c r="BA952" t="inlineStr">
        <is>
          <t>2264856430002656</t>
        </is>
      </c>
      <c r="BB952" t="inlineStr">
        <is>
          <t>BOOK</t>
        </is>
      </c>
      <c r="BD952" t="inlineStr">
        <is>
          <t>9780275959166</t>
        </is>
      </c>
      <c r="BE952" t="inlineStr">
        <is>
          <t>30001004978799</t>
        </is>
      </c>
      <c r="BF952" t="inlineStr">
        <is>
          <t>893365399</t>
        </is>
      </c>
    </row>
    <row r="953">
      <c r="A953" t="inlineStr">
        <is>
          <t>No</t>
        </is>
      </c>
      <c r="B953" t="inlineStr">
        <is>
          <t>CUHSL</t>
        </is>
      </c>
      <c r="C953" t="inlineStr">
        <is>
          <t>SHELVES</t>
        </is>
      </c>
      <c r="D953" t="inlineStr">
        <is>
          <t>W 130 AA1 B717c 2002</t>
        </is>
      </c>
      <c r="E953" t="inlineStr">
        <is>
          <t>0                      W  0130000AA 1                  B  717c        2002</t>
        </is>
      </c>
      <c r="F953" t="inlineStr">
        <is>
          <t>Contracting in a managed care environment : market-based approaches / Robert Bonney and Robert Smith.</t>
        </is>
      </c>
      <c r="H953" t="inlineStr">
        <is>
          <t>No</t>
        </is>
      </c>
      <c r="I953" t="inlineStr">
        <is>
          <t>1</t>
        </is>
      </c>
      <c r="J953" t="inlineStr">
        <is>
          <t>No</t>
        </is>
      </c>
      <c r="K953" t="inlineStr">
        <is>
          <t>No</t>
        </is>
      </c>
      <c r="L953" t="inlineStr">
        <is>
          <t>0</t>
        </is>
      </c>
      <c r="M953" t="inlineStr">
        <is>
          <t>Bonney, Robert.</t>
        </is>
      </c>
      <c r="N953" t="inlineStr">
        <is>
          <t>Chicago, Ill. : Health Administration Press, c2002.</t>
        </is>
      </c>
      <c r="O953" t="inlineStr">
        <is>
          <t>2002</t>
        </is>
      </c>
      <c r="Q953" t="inlineStr">
        <is>
          <t>eng</t>
        </is>
      </c>
      <c r="R953" t="inlineStr">
        <is>
          <t>ilu</t>
        </is>
      </c>
      <c r="S953" t="inlineStr">
        <is>
          <t>Management series</t>
        </is>
      </c>
      <c r="T953" t="inlineStr">
        <is>
          <t xml:space="preserve">W  </t>
        </is>
      </c>
      <c r="U953" t="n">
        <v>3</v>
      </c>
      <c r="V953" t="n">
        <v>3</v>
      </c>
      <c r="W953" t="inlineStr">
        <is>
          <t>2005-02-01</t>
        </is>
      </c>
      <c r="X953" t="inlineStr">
        <is>
          <t>2005-02-01</t>
        </is>
      </c>
      <c r="Y953" t="inlineStr">
        <is>
          <t>2004-08-27</t>
        </is>
      </c>
      <c r="Z953" t="inlineStr">
        <is>
          <t>2004-08-27</t>
        </is>
      </c>
      <c r="AA953" t="n">
        <v>62</v>
      </c>
      <c r="AB953" t="n">
        <v>58</v>
      </c>
      <c r="AC953" t="n">
        <v>58</v>
      </c>
      <c r="AD953" t="n">
        <v>1</v>
      </c>
      <c r="AE953" t="n">
        <v>1</v>
      </c>
      <c r="AF953" t="n">
        <v>2</v>
      </c>
      <c r="AG953" t="n">
        <v>2</v>
      </c>
      <c r="AH953" t="n">
        <v>2</v>
      </c>
      <c r="AI953" t="n">
        <v>2</v>
      </c>
      <c r="AJ953" t="n">
        <v>1</v>
      </c>
      <c r="AK953" t="n">
        <v>1</v>
      </c>
      <c r="AL953" t="n">
        <v>1</v>
      </c>
      <c r="AM953" t="n">
        <v>1</v>
      </c>
      <c r="AN953" t="n">
        <v>0</v>
      </c>
      <c r="AO953" t="n">
        <v>0</v>
      </c>
      <c r="AP953" t="n">
        <v>0</v>
      </c>
      <c r="AQ953" t="n">
        <v>0</v>
      </c>
      <c r="AR953" t="inlineStr">
        <is>
          <t>No</t>
        </is>
      </c>
      <c r="AS953" t="inlineStr">
        <is>
          <t>No</t>
        </is>
      </c>
      <c r="AU953">
        <f>HYPERLINK("https://creighton-primo.hosted.exlibrisgroup.com/primo-explore/search?tab=default_tab&amp;search_scope=EVERYTHING&amp;vid=01CRU&amp;lang=en_US&amp;offset=0&amp;query=any,contains,991000379299702656","Catalog Record")</f>
        <v/>
      </c>
      <c r="AV953">
        <f>HYPERLINK("http://www.worldcat.org/oclc/47973292","WorldCat Record")</f>
        <v/>
      </c>
      <c r="AW953" t="inlineStr">
        <is>
          <t>37191591:eng</t>
        </is>
      </c>
      <c r="AX953" t="inlineStr">
        <is>
          <t>47973292</t>
        </is>
      </c>
      <c r="AY953" t="inlineStr">
        <is>
          <t>991000379299702656</t>
        </is>
      </c>
      <c r="AZ953" t="inlineStr">
        <is>
          <t>991000379299702656</t>
        </is>
      </c>
      <c r="BA953" t="inlineStr">
        <is>
          <t>2271633830002656</t>
        </is>
      </c>
      <c r="BB953" t="inlineStr">
        <is>
          <t>BOOK</t>
        </is>
      </c>
      <c r="BD953" t="inlineStr">
        <is>
          <t>9781567931693</t>
        </is>
      </c>
      <c r="BE953" t="inlineStr">
        <is>
          <t>30001004840056</t>
        </is>
      </c>
      <c r="BF953" t="inlineStr">
        <is>
          <t>893354258</t>
        </is>
      </c>
    </row>
    <row r="954">
      <c r="A954" t="inlineStr">
        <is>
          <t>No</t>
        </is>
      </c>
      <c r="B954" t="inlineStr">
        <is>
          <t>CUHSL</t>
        </is>
      </c>
      <c r="C954" t="inlineStr">
        <is>
          <t>SHELVES</t>
        </is>
      </c>
      <c r="D954" t="inlineStr">
        <is>
          <t>W 130 AA1 C912 1998</t>
        </is>
      </c>
      <c r="E954" t="inlineStr">
        <is>
          <t>0                      W  0130000AA 1                  C  912         1998</t>
        </is>
      </c>
      <c r="F954" t="inlineStr">
        <is>
          <t>Creating consumer choice in healthcare : measuring and communicating health plan performance information / edited by Rick Curtis, Trisha Kurtz, Larry S. Stepnick.</t>
        </is>
      </c>
      <c r="H954" t="inlineStr">
        <is>
          <t>No</t>
        </is>
      </c>
      <c r="I954" t="inlineStr">
        <is>
          <t>1</t>
        </is>
      </c>
      <c r="J954" t="inlineStr">
        <is>
          <t>No</t>
        </is>
      </c>
      <c r="K954" t="inlineStr">
        <is>
          <t>No</t>
        </is>
      </c>
      <c r="L954" t="inlineStr">
        <is>
          <t>0</t>
        </is>
      </c>
      <c r="N954" t="inlineStr">
        <is>
          <t>Chicago, Ill. : Health Administration Press, c1998.</t>
        </is>
      </c>
      <c r="O954" t="inlineStr">
        <is>
          <t>1998</t>
        </is>
      </c>
      <c r="Q954" t="inlineStr">
        <is>
          <t>eng</t>
        </is>
      </c>
      <c r="R954" t="inlineStr">
        <is>
          <t>ilu</t>
        </is>
      </c>
      <c r="T954" t="inlineStr">
        <is>
          <t xml:space="preserve">W  </t>
        </is>
      </c>
      <c r="U954" t="n">
        <v>1</v>
      </c>
      <c r="V954" t="n">
        <v>1</v>
      </c>
      <c r="W954" t="inlineStr">
        <is>
          <t>2004-09-24</t>
        </is>
      </c>
      <c r="X954" t="inlineStr">
        <is>
          <t>2004-09-24</t>
        </is>
      </c>
      <c r="Y954" t="inlineStr">
        <is>
          <t>2004-09-24</t>
        </is>
      </c>
      <c r="Z954" t="inlineStr">
        <is>
          <t>2004-09-24</t>
        </is>
      </c>
      <c r="AA954" t="n">
        <v>82</v>
      </c>
      <c r="AB954" t="n">
        <v>75</v>
      </c>
      <c r="AC954" t="n">
        <v>75</v>
      </c>
      <c r="AD954" t="n">
        <v>1</v>
      </c>
      <c r="AE954" t="n">
        <v>1</v>
      </c>
      <c r="AF954" t="n">
        <v>5</v>
      </c>
      <c r="AG954" t="n">
        <v>5</v>
      </c>
      <c r="AH954" t="n">
        <v>2</v>
      </c>
      <c r="AI954" t="n">
        <v>2</v>
      </c>
      <c r="AJ954" t="n">
        <v>1</v>
      </c>
      <c r="AK954" t="n">
        <v>1</v>
      </c>
      <c r="AL954" t="n">
        <v>3</v>
      </c>
      <c r="AM954" t="n">
        <v>3</v>
      </c>
      <c r="AN954" t="n">
        <v>0</v>
      </c>
      <c r="AO954" t="n">
        <v>0</v>
      </c>
      <c r="AP954" t="n">
        <v>0</v>
      </c>
      <c r="AQ954" t="n">
        <v>0</v>
      </c>
      <c r="AR954" t="inlineStr">
        <is>
          <t>No</t>
        </is>
      </c>
      <c r="AS954" t="inlineStr">
        <is>
          <t>No</t>
        </is>
      </c>
      <c r="AU954">
        <f>HYPERLINK("https://creighton-primo.hosted.exlibrisgroup.com/primo-explore/search?tab=default_tab&amp;search_scope=EVERYTHING&amp;vid=01CRU&amp;lang=en_US&amp;offset=0&amp;query=any,contains,991000396109702656","Catalog Record")</f>
        <v/>
      </c>
      <c r="AV954">
        <f>HYPERLINK("http://www.worldcat.org/oclc/38485868","WorldCat Record")</f>
        <v/>
      </c>
      <c r="AW954" t="inlineStr">
        <is>
          <t>42327489:eng</t>
        </is>
      </c>
      <c r="AX954" t="inlineStr">
        <is>
          <t>38485868</t>
        </is>
      </c>
      <c r="AY954" t="inlineStr">
        <is>
          <t>991000396109702656</t>
        </is>
      </c>
      <c r="AZ954" t="inlineStr">
        <is>
          <t>991000396109702656</t>
        </is>
      </c>
      <c r="BA954" t="inlineStr">
        <is>
          <t>2269641800002656</t>
        </is>
      </c>
      <c r="BB954" t="inlineStr">
        <is>
          <t>BOOK</t>
        </is>
      </c>
      <c r="BD954" t="inlineStr">
        <is>
          <t>9781567930801</t>
        </is>
      </c>
      <c r="BE954" t="inlineStr">
        <is>
          <t>30001004979011</t>
        </is>
      </c>
      <c r="BF954" t="inlineStr">
        <is>
          <t>893264209</t>
        </is>
      </c>
    </row>
    <row r="955">
      <c r="A955" t="inlineStr">
        <is>
          <t>No</t>
        </is>
      </c>
      <c r="B955" t="inlineStr">
        <is>
          <t>CUHSL</t>
        </is>
      </c>
      <c r="C955" t="inlineStr">
        <is>
          <t>SHELVES</t>
        </is>
      </c>
      <c r="D955" t="inlineStr">
        <is>
          <t>W 130 AA1 D298a 1999</t>
        </is>
      </c>
      <c r="E955" t="inlineStr">
        <is>
          <t>0                      W  0130000AA 1                  D  298a        1999</t>
        </is>
      </c>
      <c r="F955" t="inlineStr">
        <is>
          <t>Advanced IPA management : direct contracting / William J. DeMarco.</t>
        </is>
      </c>
      <c r="H955" t="inlineStr">
        <is>
          <t>No</t>
        </is>
      </c>
      <c r="I955" t="inlineStr">
        <is>
          <t>1</t>
        </is>
      </c>
      <c r="J955" t="inlineStr">
        <is>
          <t>No</t>
        </is>
      </c>
      <c r="K955" t="inlineStr">
        <is>
          <t>No</t>
        </is>
      </c>
      <c r="L955" t="inlineStr">
        <is>
          <t>0</t>
        </is>
      </c>
      <c r="M955" t="inlineStr">
        <is>
          <t>DeMarco, William J.</t>
        </is>
      </c>
      <c r="N955" t="inlineStr">
        <is>
          <t>[Westchester, Ill.] : Healthcare Financial Management Association, Educational Foundation ; New York : McGraw-Hill, c1999.</t>
        </is>
      </c>
      <c r="O955" t="inlineStr">
        <is>
          <t>1999</t>
        </is>
      </c>
      <c r="Q955" t="inlineStr">
        <is>
          <t>eng</t>
        </is>
      </c>
      <c r="R955" t="inlineStr">
        <is>
          <t>ilu</t>
        </is>
      </c>
      <c r="S955" t="inlineStr">
        <is>
          <t>The HFMA healthcare financial management series</t>
        </is>
      </c>
      <c r="T955" t="inlineStr">
        <is>
          <t xml:space="preserve">W  </t>
        </is>
      </c>
      <c r="U955" t="n">
        <v>0</v>
      </c>
      <c r="V955" t="n">
        <v>0</v>
      </c>
      <c r="W955" t="inlineStr">
        <is>
          <t>2004-09-24</t>
        </is>
      </c>
      <c r="X955" t="inlineStr">
        <is>
          <t>2004-09-24</t>
        </is>
      </c>
      <c r="Y955" t="inlineStr">
        <is>
          <t>2004-09-24</t>
        </is>
      </c>
      <c r="Z955" t="inlineStr">
        <is>
          <t>2004-09-24</t>
        </is>
      </c>
      <c r="AA955" t="n">
        <v>20</v>
      </c>
      <c r="AB955" t="n">
        <v>20</v>
      </c>
      <c r="AC955" t="n">
        <v>20</v>
      </c>
      <c r="AD955" t="n">
        <v>1</v>
      </c>
      <c r="AE955" t="n">
        <v>1</v>
      </c>
      <c r="AF955" t="n">
        <v>1</v>
      </c>
      <c r="AG955" t="n">
        <v>1</v>
      </c>
      <c r="AH955" t="n">
        <v>1</v>
      </c>
      <c r="AI955" t="n">
        <v>1</v>
      </c>
      <c r="AJ955" t="n">
        <v>0</v>
      </c>
      <c r="AK955" t="n">
        <v>0</v>
      </c>
      <c r="AL955" t="n">
        <v>1</v>
      </c>
      <c r="AM955" t="n">
        <v>1</v>
      </c>
      <c r="AN955" t="n">
        <v>0</v>
      </c>
      <c r="AO955" t="n">
        <v>0</v>
      </c>
      <c r="AP955" t="n">
        <v>0</v>
      </c>
      <c r="AQ955" t="n">
        <v>0</v>
      </c>
      <c r="AR955" t="inlineStr">
        <is>
          <t>No</t>
        </is>
      </c>
      <c r="AS955" t="inlineStr">
        <is>
          <t>No</t>
        </is>
      </c>
      <c r="AU955">
        <f>HYPERLINK("https://creighton-primo.hosted.exlibrisgroup.com/primo-explore/search?tab=default_tab&amp;search_scope=EVERYTHING&amp;vid=01CRU&amp;lang=en_US&amp;offset=0&amp;query=any,contains,991000397079702656","Catalog Record")</f>
        <v/>
      </c>
      <c r="AV955">
        <f>HYPERLINK("http://www.worldcat.org/oclc/40693974","WorldCat Record")</f>
        <v/>
      </c>
      <c r="AW955" t="inlineStr">
        <is>
          <t>26193195:eng</t>
        </is>
      </c>
      <c r="AX955" t="inlineStr">
        <is>
          <t>40693974</t>
        </is>
      </c>
      <c r="AY955" t="inlineStr">
        <is>
          <t>991000397079702656</t>
        </is>
      </c>
      <c r="AZ955" t="inlineStr">
        <is>
          <t>991000397079702656</t>
        </is>
      </c>
      <c r="BA955" t="inlineStr">
        <is>
          <t>2266443760002656</t>
        </is>
      </c>
      <c r="BB955" t="inlineStr">
        <is>
          <t>BOOK</t>
        </is>
      </c>
      <c r="BD955" t="inlineStr">
        <is>
          <t>9780071343206</t>
        </is>
      </c>
      <c r="BE955" t="inlineStr">
        <is>
          <t>30001004978856</t>
        </is>
      </c>
      <c r="BF955" t="inlineStr">
        <is>
          <t>893456663</t>
        </is>
      </c>
    </row>
    <row r="956">
      <c r="A956" t="inlineStr">
        <is>
          <t>No</t>
        </is>
      </c>
      <c r="B956" t="inlineStr">
        <is>
          <t>CUHSL</t>
        </is>
      </c>
      <c r="C956" t="inlineStr">
        <is>
          <t>SHELVES</t>
        </is>
      </c>
      <c r="D956" t="inlineStr">
        <is>
          <t>W 130 AA1 G237m 1999</t>
        </is>
      </c>
      <c r="E956" t="inlineStr">
        <is>
          <t>0                      W  0130000AA 1                  G  237m        1999</t>
        </is>
      </c>
      <c r="F956" t="inlineStr">
        <is>
          <t>Managed care contracting : a practical guide for health care executives / William A. Garofalo, Eve T. Horwitz, Thomas M. Reardon ; foreword by Norman C. Payson.</t>
        </is>
      </c>
      <c r="H956" t="inlineStr">
        <is>
          <t>No</t>
        </is>
      </c>
      <c r="I956" t="inlineStr">
        <is>
          <t>1</t>
        </is>
      </c>
      <c r="J956" t="inlineStr">
        <is>
          <t>No</t>
        </is>
      </c>
      <c r="K956" t="inlineStr">
        <is>
          <t>No</t>
        </is>
      </c>
      <c r="L956" t="inlineStr">
        <is>
          <t>0</t>
        </is>
      </c>
      <c r="M956" t="inlineStr">
        <is>
          <t>Garofalo, William A.</t>
        </is>
      </c>
      <c r="N956" t="inlineStr">
        <is>
          <t>San Francisco : Jossey-Bass Publishers, c1999.</t>
        </is>
      </c>
      <c r="O956" t="inlineStr">
        <is>
          <t>1999</t>
        </is>
      </c>
      <c r="Q956" t="inlineStr">
        <is>
          <t>eng</t>
        </is>
      </c>
      <c r="R956" t="inlineStr">
        <is>
          <t>cau</t>
        </is>
      </c>
      <c r="T956" t="inlineStr">
        <is>
          <t xml:space="preserve">W  </t>
        </is>
      </c>
      <c r="U956" t="n">
        <v>0</v>
      </c>
      <c r="V956" t="n">
        <v>0</v>
      </c>
      <c r="W956" t="inlineStr">
        <is>
          <t>2004-09-24</t>
        </is>
      </c>
      <c r="X956" t="inlineStr">
        <is>
          <t>2004-09-24</t>
        </is>
      </c>
      <c r="Y956" t="inlineStr">
        <is>
          <t>2004-09-24</t>
        </is>
      </c>
      <c r="Z956" t="inlineStr">
        <is>
          <t>2004-09-24</t>
        </is>
      </c>
      <c r="AA956" t="n">
        <v>122</v>
      </c>
      <c r="AB956" t="n">
        <v>112</v>
      </c>
      <c r="AC956" t="n">
        <v>112</v>
      </c>
      <c r="AD956" t="n">
        <v>1</v>
      </c>
      <c r="AE956" t="n">
        <v>1</v>
      </c>
      <c r="AF956" t="n">
        <v>5</v>
      </c>
      <c r="AG956" t="n">
        <v>5</v>
      </c>
      <c r="AH956" t="n">
        <v>1</v>
      </c>
      <c r="AI956" t="n">
        <v>1</v>
      </c>
      <c r="AJ956" t="n">
        <v>1</v>
      </c>
      <c r="AK956" t="n">
        <v>1</v>
      </c>
      <c r="AL956" t="n">
        <v>4</v>
      </c>
      <c r="AM956" t="n">
        <v>4</v>
      </c>
      <c r="AN956" t="n">
        <v>0</v>
      </c>
      <c r="AO956" t="n">
        <v>0</v>
      </c>
      <c r="AP956" t="n">
        <v>1</v>
      </c>
      <c r="AQ956" t="n">
        <v>1</v>
      </c>
      <c r="AR956" t="inlineStr">
        <is>
          <t>No</t>
        </is>
      </c>
      <c r="AS956" t="inlineStr">
        <is>
          <t>No</t>
        </is>
      </c>
      <c r="AU956">
        <f>HYPERLINK("https://creighton-primo.hosted.exlibrisgroup.com/primo-explore/search?tab=default_tab&amp;search_scope=EVERYTHING&amp;vid=01CRU&amp;lang=en_US&amp;offset=0&amp;query=any,contains,991000395919702656","Catalog Record")</f>
        <v/>
      </c>
      <c r="AV956">
        <f>HYPERLINK("http://www.worldcat.org/oclc/39857645","WorldCat Record")</f>
        <v/>
      </c>
      <c r="AW956" t="inlineStr">
        <is>
          <t>41564304:eng</t>
        </is>
      </c>
      <c r="AX956" t="inlineStr">
        <is>
          <t>39857645</t>
        </is>
      </c>
      <c r="AY956" t="inlineStr">
        <is>
          <t>991000395919702656</t>
        </is>
      </c>
      <c r="AZ956" t="inlineStr">
        <is>
          <t>991000395919702656</t>
        </is>
      </c>
      <c r="BA956" t="inlineStr">
        <is>
          <t>2258725080002656</t>
        </is>
      </c>
      <c r="BB956" t="inlineStr">
        <is>
          <t>BOOK</t>
        </is>
      </c>
      <c r="BD956" t="inlineStr">
        <is>
          <t>9780787945817</t>
        </is>
      </c>
      <c r="BE956" t="inlineStr">
        <is>
          <t>30001004979045</t>
        </is>
      </c>
      <c r="BF956" t="inlineStr">
        <is>
          <t>893151007</t>
        </is>
      </c>
    </row>
    <row r="957">
      <c r="A957" t="inlineStr">
        <is>
          <t>No</t>
        </is>
      </c>
      <c r="B957" t="inlineStr">
        <is>
          <t>CUHSL</t>
        </is>
      </c>
      <c r="C957" t="inlineStr">
        <is>
          <t>SHELVES</t>
        </is>
      </c>
      <c r="D957" t="inlineStr">
        <is>
          <t>W 130 AA1 K64o 2001</t>
        </is>
      </c>
      <c r="E957" t="inlineStr">
        <is>
          <t>0                      W  0130000AA 1                  K  64o         2001</t>
        </is>
      </c>
      <c r="F957" t="inlineStr">
        <is>
          <t>Oxymorons : the myth of a U.S. health care system / J.D. Kleinke.</t>
        </is>
      </c>
      <c r="H957" t="inlineStr">
        <is>
          <t>No</t>
        </is>
      </c>
      <c r="I957" t="inlineStr">
        <is>
          <t>1</t>
        </is>
      </c>
      <c r="J957" t="inlineStr">
        <is>
          <t>No</t>
        </is>
      </c>
      <c r="K957" t="inlineStr">
        <is>
          <t>No</t>
        </is>
      </c>
      <c r="L957" t="inlineStr">
        <is>
          <t>0</t>
        </is>
      </c>
      <c r="M957" t="inlineStr">
        <is>
          <t>Kleinke, J. D.</t>
        </is>
      </c>
      <c r="N957" t="inlineStr">
        <is>
          <t>San Francisco : Jossey-Bass, c2001.</t>
        </is>
      </c>
      <c r="O957" t="inlineStr">
        <is>
          <t>2001</t>
        </is>
      </c>
      <c r="Q957" t="inlineStr">
        <is>
          <t>eng</t>
        </is>
      </c>
      <c r="R957" t="inlineStr">
        <is>
          <t>cau</t>
        </is>
      </c>
      <c r="S957" t="inlineStr">
        <is>
          <t>The Jossey-Bass health series</t>
        </is>
      </c>
      <c r="T957" t="inlineStr">
        <is>
          <t xml:space="preserve">W  </t>
        </is>
      </c>
      <c r="U957" t="n">
        <v>0</v>
      </c>
      <c r="V957" t="n">
        <v>0</v>
      </c>
      <c r="W957" t="inlineStr">
        <is>
          <t>2004-09-24</t>
        </is>
      </c>
      <c r="X957" t="inlineStr">
        <is>
          <t>2004-09-24</t>
        </is>
      </c>
      <c r="Y957" t="inlineStr">
        <is>
          <t>2004-09-24</t>
        </is>
      </c>
      <c r="Z957" t="inlineStr">
        <is>
          <t>2004-09-24</t>
        </is>
      </c>
      <c r="AA957" t="n">
        <v>311</v>
      </c>
      <c r="AB957" t="n">
        <v>288</v>
      </c>
      <c r="AC957" t="n">
        <v>300</v>
      </c>
      <c r="AD957" t="n">
        <v>1</v>
      </c>
      <c r="AE957" t="n">
        <v>1</v>
      </c>
      <c r="AF957" t="n">
        <v>13</v>
      </c>
      <c r="AG957" t="n">
        <v>13</v>
      </c>
      <c r="AH957" t="n">
        <v>7</v>
      </c>
      <c r="AI957" t="n">
        <v>7</v>
      </c>
      <c r="AJ957" t="n">
        <v>2</v>
      </c>
      <c r="AK957" t="n">
        <v>2</v>
      </c>
      <c r="AL957" t="n">
        <v>6</v>
      </c>
      <c r="AM957" t="n">
        <v>6</v>
      </c>
      <c r="AN957" t="n">
        <v>0</v>
      </c>
      <c r="AO957" t="n">
        <v>0</v>
      </c>
      <c r="AP957" t="n">
        <v>0</v>
      </c>
      <c r="AQ957" t="n">
        <v>0</v>
      </c>
      <c r="AR957" t="inlineStr">
        <is>
          <t>No</t>
        </is>
      </c>
      <c r="AS957" t="inlineStr">
        <is>
          <t>Yes</t>
        </is>
      </c>
      <c r="AT957">
        <f>HYPERLINK("http://catalog.hathitrust.org/Record/004210200","HathiTrust Record")</f>
        <v/>
      </c>
      <c r="AU957">
        <f>HYPERLINK("https://creighton-primo.hosted.exlibrisgroup.com/primo-explore/search?tab=default_tab&amp;search_scope=EVERYTHING&amp;vid=01CRU&amp;lang=en_US&amp;offset=0&amp;query=any,contains,991000396209702656","Catalog Record")</f>
        <v/>
      </c>
      <c r="AV957">
        <f>HYPERLINK("http://www.worldcat.org/oclc/47764234","WorldCat Record")</f>
        <v/>
      </c>
      <c r="AW957" t="inlineStr">
        <is>
          <t>795382694:eng</t>
        </is>
      </c>
      <c r="AX957" t="inlineStr">
        <is>
          <t>47764234</t>
        </is>
      </c>
      <c r="AY957" t="inlineStr">
        <is>
          <t>991000396209702656</t>
        </is>
      </c>
      <c r="AZ957" t="inlineStr">
        <is>
          <t>991000396209702656</t>
        </is>
      </c>
      <c r="BA957" t="inlineStr">
        <is>
          <t>2263713750002656</t>
        </is>
      </c>
      <c r="BB957" t="inlineStr">
        <is>
          <t>BOOK</t>
        </is>
      </c>
      <c r="BD957" t="inlineStr">
        <is>
          <t>9780787959708</t>
        </is>
      </c>
      <c r="BE957" t="inlineStr">
        <is>
          <t>30001004978732</t>
        </is>
      </c>
      <c r="BF957" t="inlineStr">
        <is>
          <t>893827449</t>
        </is>
      </c>
    </row>
    <row r="958">
      <c r="A958" t="inlineStr">
        <is>
          <t>No</t>
        </is>
      </c>
      <c r="B958" t="inlineStr">
        <is>
          <t>CUHSL</t>
        </is>
      </c>
      <c r="C958" t="inlineStr">
        <is>
          <t>SHELVES</t>
        </is>
      </c>
      <c r="D958" t="inlineStr">
        <is>
          <t>W130 AA1 K82m 2002</t>
        </is>
      </c>
      <c r="E958" t="inlineStr">
        <is>
          <t>0                      W  0130000AA 1                  K  82m         2002</t>
        </is>
      </c>
      <c r="F958" t="inlineStr">
        <is>
          <t>Managed care : what it is and how it works / Peter R. Kongstvedt.</t>
        </is>
      </c>
      <c r="H958" t="inlineStr">
        <is>
          <t>No</t>
        </is>
      </c>
      <c r="I958" t="inlineStr">
        <is>
          <t>1</t>
        </is>
      </c>
      <c r="J958" t="inlineStr">
        <is>
          <t>No</t>
        </is>
      </c>
      <c r="K958" t="inlineStr">
        <is>
          <t>No</t>
        </is>
      </c>
      <c r="L958" t="inlineStr">
        <is>
          <t>0</t>
        </is>
      </c>
      <c r="M958" t="inlineStr">
        <is>
          <t>Kongstvedt, Peter R. (Peter Reid)</t>
        </is>
      </c>
      <c r="N958" t="inlineStr">
        <is>
          <t>Gaithersburg, Md. : Aspen Publishers, c2002.</t>
        </is>
      </c>
      <c r="O958" t="inlineStr">
        <is>
          <t>2002</t>
        </is>
      </c>
      <c r="P958" t="inlineStr">
        <is>
          <t>2nd ed.</t>
        </is>
      </c>
      <c r="Q958" t="inlineStr">
        <is>
          <t>eng</t>
        </is>
      </c>
      <c r="R958" t="inlineStr">
        <is>
          <t>mdu</t>
        </is>
      </c>
      <c r="T958" t="inlineStr">
        <is>
          <t xml:space="preserve">W  </t>
        </is>
      </c>
      <c r="U958" t="n">
        <v>5</v>
      </c>
      <c r="V958" t="n">
        <v>5</v>
      </c>
      <c r="W958" t="inlineStr">
        <is>
          <t>2005-09-07</t>
        </is>
      </c>
      <c r="X958" t="inlineStr">
        <is>
          <t>2005-09-07</t>
        </is>
      </c>
      <c r="Y958" t="inlineStr">
        <is>
          <t>2003-04-10</t>
        </is>
      </c>
      <c r="Z958" t="inlineStr">
        <is>
          <t>2003-04-10</t>
        </is>
      </c>
      <c r="AA958" t="n">
        <v>152</v>
      </c>
      <c r="AB958" t="n">
        <v>144</v>
      </c>
      <c r="AC958" t="n">
        <v>383</v>
      </c>
      <c r="AD958" t="n">
        <v>1</v>
      </c>
      <c r="AE958" t="n">
        <v>2</v>
      </c>
      <c r="AF958" t="n">
        <v>8</v>
      </c>
      <c r="AG958" t="n">
        <v>15</v>
      </c>
      <c r="AH958" t="n">
        <v>2</v>
      </c>
      <c r="AI958" t="n">
        <v>3</v>
      </c>
      <c r="AJ958" t="n">
        <v>4</v>
      </c>
      <c r="AK958" t="n">
        <v>7</v>
      </c>
      <c r="AL958" t="n">
        <v>4</v>
      </c>
      <c r="AM958" t="n">
        <v>7</v>
      </c>
      <c r="AN958" t="n">
        <v>0</v>
      </c>
      <c r="AO958" t="n">
        <v>1</v>
      </c>
      <c r="AP958" t="n">
        <v>0</v>
      </c>
      <c r="AQ958" t="n">
        <v>0</v>
      </c>
      <c r="AR958" t="inlineStr">
        <is>
          <t>No</t>
        </is>
      </c>
      <c r="AS958" t="inlineStr">
        <is>
          <t>No</t>
        </is>
      </c>
      <c r="AU958">
        <f>HYPERLINK("https://creighton-primo.hosted.exlibrisgroup.com/primo-explore/search?tab=default_tab&amp;search_scope=EVERYTHING&amp;vid=01CRU&amp;lang=en_US&amp;offset=0&amp;query=any,contains,991000343849702656","Catalog Record")</f>
        <v/>
      </c>
      <c r="AV958">
        <f>HYPERLINK("http://www.worldcat.org/oclc/48390646","WorldCat Record")</f>
        <v/>
      </c>
      <c r="AW958" t="inlineStr">
        <is>
          <t>758336:eng</t>
        </is>
      </c>
      <c r="AX958" t="inlineStr">
        <is>
          <t>48390646</t>
        </is>
      </c>
      <c r="AY958" t="inlineStr">
        <is>
          <t>991000343849702656</t>
        </is>
      </c>
      <c r="AZ958" t="inlineStr">
        <is>
          <t>991000343849702656</t>
        </is>
      </c>
      <c r="BA958" t="inlineStr">
        <is>
          <t>2256383570002656</t>
        </is>
      </c>
      <c r="BB958" t="inlineStr">
        <is>
          <t>BOOK</t>
        </is>
      </c>
      <c r="BD958" t="inlineStr">
        <is>
          <t>9780834220898</t>
        </is>
      </c>
      <c r="BE958" t="inlineStr">
        <is>
          <t>30001004504090</t>
        </is>
      </c>
      <c r="BF958" t="inlineStr">
        <is>
          <t>893359489</t>
        </is>
      </c>
    </row>
    <row r="959">
      <c r="A959" t="inlineStr">
        <is>
          <t>No</t>
        </is>
      </c>
      <c r="B959" t="inlineStr">
        <is>
          <t>CUHSL</t>
        </is>
      </c>
      <c r="C959" t="inlineStr">
        <is>
          <t>SHELVES</t>
        </is>
      </c>
      <c r="D959" t="inlineStr">
        <is>
          <t>W 130 AA1 M26 1996</t>
        </is>
      </c>
      <c r="E959" t="inlineStr">
        <is>
          <t>0                      W  0130000AA 1                  M  26          1996</t>
        </is>
      </c>
      <c r="F959" t="inlineStr">
        <is>
          <t>The Managed health care handbook / [edited by] Peter R. Kongstvedt.</t>
        </is>
      </c>
      <c r="H959" t="inlineStr">
        <is>
          <t>No</t>
        </is>
      </c>
      <c r="I959" t="inlineStr">
        <is>
          <t>1</t>
        </is>
      </c>
      <c r="J959" t="inlineStr">
        <is>
          <t>No</t>
        </is>
      </c>
      <c r="K959" t="inlineStr">
        <is>
          <t>No</t>
        </is>
      </c>
      <c r="L959" t="inlineStr">
        <is>
          <t>0</t>
        </is>
      </c>
      <c r="N959" t="inlineStr">
        <is>
          <t>Gaithersburg, Md. : Aspen Publishers, c1996.</t>
        </is>
      </c>
      <c r="O959" t="inlineStr">
        <is>
          <t>1996</t>
        </is>
      </c>
      <c r="P959" t="inlineStr">
        <is>
          <t>3rd ed.</t>
        </is>
      </c>
      <c r="Q959" t="inlineStr">
        <is>
          <t>eng</t>
        </is>
      </c>
      <c r="R959" t="inlineStr">
        <is>
          <t>mdu</t>
        </is>
      </c>
      <c r="T959" t="inlineStr">
        <is>
          <t xml:space="preserve">W  </t>
        </is>
      </c>
      <c r="U959" t="n">
        <v>17</v>
      </c>
      <c r="V959" t="n">
        <v>17</v>
      </c>
      <c r="W959" t="inlineStr">
        <is>
          <t>2005-10-05</t>
        </is>
      </c>
      <c r="X959" t="inlineStr">
        <is>
          <t>2005-10-05</t>
        </is>
      </c>
      <c r="Y959" t="inlineStr">
        <is>
          <t>1997-02-10</t>
        </is>
      </c>
      <c r="Z959" t="inlineStr">
        <is>
          <t>1997-02-10</t>
        </is>
      </c>
      <c r="AA959" t="n">
        <v>359</v>
      </c>
      <c r="AB959" t="n">
        <v>317</v>
      </c>
      <c r="AC959" t="n">
        <v>639</v>
      </c>
      <c r="AD959" t="n">
        <v>1</v>
      </c>
      <c r="AE959" t="n">
        <v>4</v>
      </c>
      <c r="AF959" t="n">
        <v>9</v>
      </c>
      <c r="AG959" t="n">
        <v>27</v>
      </c>
      <c r="AH959" t="n">
        <v>3</v>
      </c>
      <c r="AI959" t="n">
        <v>8</v>
      </c>
      <c r="AJ959" t="n">
        <v>2</v>
      </c>
      <c r="AK959" t="n">
        <v>6</v>
      </c>
      <c r="AL959" t="n">
        <v>6</v>
      </c>
      <c r="AM959" t="n">
        <v>14</v>
      </c>
      <c r="AN959" t="n">
        <v>0</v>
      </c>
      <c r="AO959" t="n">
        <v>2</v>
      </c>
      <c r="AP959" t="n">
        <v>2</v>
      </c>
      <c r="AQ959" t="n">
        <v>3</v>
      </c>
      <c r="AR959" t="inlineStr">
        <is>
          <t>No</t>
        </is>
      </c>
      <c r="AS959" t="inlineStr">
        <is>
          <t>Yes</t>
        </is>
      </c>
      <c r="AT959">
        <f>HYPERLINK("http://catalog.hathitrust.org/Record/003085823","HathiTrust Record")</f>
        <v/>
      </c>
      <c r="AU959">
        <f>HYPERLINK("https://creighton-primo.hosted.exlibrisgroup.com/primo-explore/search?tab=default_tab&amp;search_scope=EVERYTHING&amp;vid=01CRU&amp;lang=en_US&amp;offset=0&amp;query=any,contains,991000836159702656","Catalog Record")</f>
        <v/>
      </c>
      <c r="AV959">
        <f>HYPERLINK("http://www.worldcat.org/oclc/34412829","WorldCat Record")</f>
        <v/>
      </c>
      <c r="AW959" t="inlineStr">
        <is>
          <t>55135463:eng</t>
        </is>
      </c>
      <c r="AX959" t="inlineStr">
        <is>
          <t>34412829</t>
        </is>
      </c>
      <c r="AY959" t="inlineStr">
        <is>
          <t>991000836159702656</t>
        </is>
      </c>
      <c r="AZ959" t="inlineStr">
        <is>
          <t>991000836159702656</t>
        </is>
      </c>
      <c r="BA959" t="inlineStr">
        <is>
          <t>2260604330002656</t>
        </is>
      </c>
      <c r="BB959" t="inlineStr">
        <is>
          <t>BOOK</t>
        </is>
      </c>
      <c r="BD959" t="inlineStr">
        <is>
          <t>9780834207332</t>
        </is>
      </c>
      <c r="BE959" t="inlineStr">
        <is>
          <t>30001003441880</t>
        </is>
      </c>
      <c r="BF959" t="inlineStr">
        <is>
          <t>893632317</t>
        </is>
      </c>
    </row>
    <row r="960">
      <c r="A960" t="inlineStr">
        <is>
          <t>No</t>
        </is>
      </c>
      <c r="B960" t="inlineStr">
        <is>
          <t>CUHSL</t>
        </is>
      </c>
      <c r="C960" t="inlineStr">
        <is>
          <t>SHELVES</t>
        </is>
      </c>
      <c r="D960" t="inlineStr">
        <is>
          <t>W 130 AA1 P895 2000</t>
        </is>
      </c>
      <c r="E960" t="inlineStr">
        <is>
          <t>0                      W  0130000AA 1                  P  895         2000</t>
        </is>
      </c>
      <c r="F960" t="inlineStr">
        <is>
          <t>A Guide to managed care medicine / William N. Tindall ... [et al.].</t>
        </is>
      </c>
      <c r="H960" t="inlineStr">
        <is>
          <t>No</t>
        </is>
      </c>
      <c r="I960" t="inlineStr">
        <is>
          <t>1</t>
        </is>
      </c>
      <c r="J960" t="inlineStr">
        <is>
          <t>No</t>
        </is>
      </c>
      <c r="K960" t="inlineStr">
        <is>
          <t>No</t>
        </is>
      </c>
      <c r="L960" t="inlineStr">
        <is>
          <t>0</t>
        </is>
      </c>
      <c r="N960" t="inlineStr">
        <is>
          <t>Gaithersburg, Md. : Aspen Publishers, 2000.</t>
        </is>
      </c>
      <c r="O960" t="inlineStr">
        <is>
          <t>2000</t>
        </is>
      </c>
      <c r="Q960" t="inlineStr">
        <is>
          <t>eng</t>
        </is>
      </c>
      <c r="R960" t="inlineStr">
        <is>
          <t>mdu</t>
        </is>
      </c>
      <c r="T960" t="inlineStr">
        <is>
          <t xml:space="preserve">W  </t>
        </is>
      </c>
      <c r="U960" t="n">
        <v>2</v>
      </c>
      <c r="V960" t="n">
        <v>2</v>
      </c>
      <c r="W960" t="inlineStr">
        <is>
          <t>2005-10-05</t>
        </is>
      </c>
      <c r="X960" t="inlineStr">
        <is>
          <t>2005-10-05</t>
        </is>
      </c>
      <c r="Y960" t="inlineStr">
        <is>
          <t>2004-08-26</t>
        </is>
      </c>
      <c r="Z960" t="inlineStr">
        <is>
          <t>2004-08-26</t>
        </is>
      </c>
      <c r="AA960" t="n">
        <v>154</v>
      </c>
      <c r="AB960" t="n">
        <v>145</v>
      </c>
      <c r="AC960" t="n">
        <v>145</v>
      </c>
      <c r="AD960" t="n">
        <v>1</v>
      </c>
      <c r="AE960" t="n">
        <v>1</v>
      </c>
      <c r="AF960" t="n">
        <v>6</v>
      </c>
      <c r="AG960" t="n">
        <v>6</v>
      </c>
      <c r="AH960" t="n">
        <v>1</v>
      </c>
      <c r="AI960" t="n">
        <v>1</v>
      </c>
      <c r="AJ960" t="n">
        <v>3</v>
      </c>
      <c r="AK960" t="n">
        <v>3</v>
      </c>
      <c r="AL960" t="n">
        <v>4</v>
      </c>
      <c r="AM960" t="n">
        <v>4</v>
      </c>
      <c r="AN960" t="n">
        <v>0</v>
      </c>
      <c r="AO960" t="n">
        <v>0</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HYPERLINK("https://creighton-primo.hosted.exlibrisgroup.com/primo-explore/search?tab=default_tab&amp;search_scope=EVERYTHING&amp;vid=01CRU&amp;lang=en_US&amp;offset=0&amp;query=any,contains,991000378659702656","Catalog Record")</f>
        <v/>
      </c>
      <c r="AV960">
        <f>HYPERLINK("http://www.worldcat.org/oclc/42814199","WorldCat Record")</f>
        <v/>
      </c>
      <c r="AW960" t="inlineStr">
        <is>
          <t>52424:eng</t>
        </is>
      </c>
      <c r="AX960" t="inlineStr">
        <is>
          <t>42814199</t>
        </is>
      </c>
      <c r="AY960" t="inlineStr">
        <is>
          <t>991000378659702656</t>
        </is>
      </c>
      <c r="AZ960" t="inlineStr">
        <is>
          <t>991000378659702656</t>
        </is>
      </c>
      <c r="BA960" t="inlineStr">
        <is>
          <t>2261067930002656</t>
        </is>
      </c>
      <c r="BB960" t="inlineStr">
        <is>
          <t>BOOK</t>
        </is>
      </c>
      <c r="BD960" t="inlineStr">
        <is>
          <t>9780834217652</t>
        </is>
      </c>
      <c r="BE960" t="inlineStr">
        <is>
          <t>30001004219749</t>
        </is>
      </c>
      <c r="BF960" t="inlineStr">
        <is>
          <t>893375495</t>
        </is>
      </c>
    </row>
    <row r="961">
      <c r="A961" t="inlineStr">
        <is>
          <t>No</t>
        </is>
      </c>
      <c r="B961" t="inlineStr">
        <is>
          <t>CUHSL</t>
        </is>
      </c>
      <c r="C961" t="inlineStr">
        <is>
          <t>SHELVES</t>
        </is>
      </c>
      <c r="D961" t="inlineStr">
        <is>
          <t>W 130 AA1 S7878i 1999</t>
        </is>
      </c>
      <c r="E961" t="inlineStr">
        <is>
          <t>0                      W  0130000AA 1                  S  7878i       1999</t>
        </is>
      </c>
      <c r="F961" t="inlineStr">
        <is>
          <t>IPA management : organizational structure and strategic planning / Kay Stanley, J. Max Reiboldt, Reed S. Wilson.</t>
        </is>
      </c>
      <c r="H961" t="inlineStr">
        <is>
          <t>No</t>
        </is>
      </c>
      <c r="I961" t="inlineStr">
        <is>
          <t>1</t>
        </is>
      </c>
      <c r="J961" t="inlineStr">
        <is>
          <t>No</t>
        </is>
      </c>
      <c r="K961" t="inlineStr">
        <is>
          <t>No</t>
        </is>
      </c>
      <c r="L961" t="inlineStr">
        <is>
          <t>0</t>
        </is>
      </c>
      <c r="M961" t="inlineStr">
        <is>
          <t>Stanley, Kay, 1944-</t>
        </is>
      </c>
      <c r="N961" t="inlineStr">
        <is>
          <t>New York : McGraw-Hill, c1999.</t>
        </is>
      </c>
      <c r="O961" t="inlineStr">
        <is>
          <t>1999</t>
        </is>
      </c>
      <c r="Q961" t="inlineStr">
        <is>
          <t>eng</t>
        </is>
      </c>
      <c r="R961" t="inlineStr">
        <is>
          <t>nyu</t>
        </is>
      </c>
      <c r="S961" t="inlineStr">
        <is>
          <t>HFMA healthcare financial management series</t>
        </is>
      </c>
      <c r="T961" t="inlineStr">
        <is>
          <t xml:space="preserve">W  </t>
        </is>
      </c>
      <c r="U961" t="n">
        <v>0</v>
      </c>
      <c r="V961" t="n">
        <v>0</v>
      </c>
      <c r="W961" t="inlineStr">
        <is>
          <t>2004-09-24</t>
        </is>
      </c>
      <c r="X961" t="inlineStr">
        <is>
          <t>2004-09-24</t>
        </is>
      </c>
      <c r="Y961" t="inlineStr">
        <is>
          <t>2004-09-24</t>
        </is>
      </c>
      <c r="Z961" t="inlineStr">
        <is>
          <t>2004-09-24</t>
        </is>
      </c>
      <c r="AA961" t="n">
        <v>24</v>
      </c>
      <c r="AB961" t="n">
        <v>24</v>
      </c>
      <c r="AC961" t="n">
        <v>25</v>
      </c>
      <c r="AD961" t="n">
        <v>1</v>
      </c>
      <c r="AE961" t="n">
        <v>1</v>
      </c>
      <c r="AF961" t="n">
        <v>0</v>
      </c>
      <c r="AG961" t="n">
        <v>0</v>
      </c>
      <c r="AH961" t="n">
        <v>0</v>
      </c>
      <c r="AI961" t="n">
        <v>0</v>
      </c>
      <c r="AJ961" t="n">
        <v>0</v>
      </c>
      <c r="AK961" t="n">
        <v>0</v>
      </c>
      <c r="AL961" t="n">
        <v>0</v>
      </c>
      <c r="AM961" t="n">
        <v>0</v>
      </c>
      <c r="AN961" t="n">
        <v>0</v>
      </c>
      <c r="AO961" t="n">
        <v>0</v>
      </c>
      <c r="AP961" t="n">
        <v>0</v>
      </c>
      <c r="AQ961" t="n">
        <v>0</v>
      </c>
      <c r="AR961" t="inlineStr">
        <is>
          <t>No</t>
        </is>
      </c>
      <c r="AS961" t="inlineStr">
        <is>
          <t>Yes</t>
        </is>
      </c>
      <c r="AT961">
        <f>HYPERLINK("http://catalog.hathitrust.org/Record/007065725","HathiTrust Record")</f>
        <v/>
      </c>
      <c r="AU961">
        <f>HYPERLINK("https://creighton-primo.hosted.exlibrisgroup.com/primo-explore/search?tab=default_tab&amp;search_scope=EVERYTHING&amp;vid=01CRU&amp;lang=en_US&amp;offset=0&amp;query=any,contains,991000397149702656","Catalog Record")</f>
        <v/>
      </c>
      <c r="AV961">
        <f>HYPERLINK("http://www.worldcat.org/oclc/40675082","WorldCat Record")</f>
        <v/>
      </c>
      <c r="AW961" t="inlineStr">
        <is>
          <t>3373618892:eng</t>
        </is>
      </c>
      <c r="AX961" t="inlineStr">
        <is>
          <t>40675082</t>
        </is>
      </c>
      <c r="AY961" t="inlineStr">
        <is>
          <t>991000397149702656</t>
        </is>
      </c>
      <c r="AZ961" t="inlineStr">
        <is>
          <t>991000397149702656</t>
        </is>
      </c>
      <c r="BA961" t="inlineStr">
        <is>
          <t>2260324140002656</t>
        </is>
      </c>
      <c r="BB961" t="inlineStr">
        <is>
          <t>BOOK</t>
        </is>
      </c>
      <c r="BD961" t="inlineStr">
        <is>
          <t>9780071343039</t>
        </is>
      </c>
      <c r="BE961" t="inlineStr">
        <is>
          <t>30001004978831</t>
        </is>
      </c>
      <c r="BF961" t="inlineStr">
        <is>
          <t>893817071</t>
        </is>
      </c>
    </row>
    <row r="962">
      <c r="A962" t="inlineStr">
        <is>
          <t>No</t>
        </is>
      </c>
      <c r="B962" t="inlineStr">
        <is>
          <t>CUHSL</t>
        </is>
      </c>
      <c r="C962" t="inlineStr">
        <is>
          <t>SHELVES</t>
        </is>
      </c>
      <c r="D962" t="inlineStr">
        <is>
          <t>W 130 AA1 T6i 1997</t>
        </is>
      </c>
      <c r="E962" t="inlineStr">
        <is>
          <t>0                      W  0130000AA 1                  T  6i          1997</t>
        </is>
      </c>
      <c r="F962" t="inlineStr">
        <is>
          <t>IPA, PHO, and MSO developmental strategies : building successful provider alliances / Maria K. Todd.</t>
        </is>
      </c>
      <c r="H962" t="inlineStr">
        <is>
          <t>No</t>
        </is>
      </c>
      <c r="I962" t="inlineStr">
        <is>
          <t>1</t>
        </is>
      </c>
      <c r="J962" t="inlineStr">
        <is>
          <t>No</t>
        </is>
      </c>
      <c r="K962" t="inlineStr">
        <is>
          <t>No</t>
        </is>
      </c>
      <c r="L962" t="inlineStr">
        <is>
          <t>0</t>
        </is>
      </c>
      <c r="M962" t="inlineStr">
        <is>
          <t>Todd, Maria K.</t>
        </is>
      </c>
      <c r="N962" t="inlineStr">
        <is>
          <t>[Westchester, IL] : Healthcare Financial Management Association ; New York : McGraw-Hill, c1997.</t>
        </is>
      </c>
      <c r="O962" t="inlineStr">
        <is>
          <t>1997</t>
        </is>
      </c>
      <c r="Q962" t="inlineStr">
        <is>
          <t>eng</t>
        </is>
      </c>
      <c r="R962" t="inlineStr">
        <is>
          <t>ilu</t>
        </is>
      </c>
      <c r="S962" t="inlineStr">
        <is>
          <t>[The HFMA healthcare financial management series]</t>
        </is>
      </c>
      <c r="T962" t="inlineStr">
        <is>
          <t xml:space="preserve">W  </t>
        </is>
      </c>
      <c r="U962" t="n">
        <v>4</v>
      </c>
      <c r="V962" t="n">
        <v>4</v>
      </c>
      <c r="W962" t="inlineStr">
        <is>
          <t>1999-05-29</t>
        </is>
      </c>
      <c r="X962" t="inlineStr">
        <is>
          <t>1999-05-29</t>
        </is>
      </c>
      <c r="Y962" t="inlineStr">
        <is>
          <t>1999-02-08</t>
        </is>
      </c>
      <c r="Z962" t="inlineStr">
        <is>
          <t>1999-02-08</t>
        </is>
      </c>
      <c r="AA962" t="n">
        <v>48</v>
      </c>
      <c r="AB962" t="n">
        <v>46</v>
      </c>
      <c r="AC962" t="n">
        <v>47</v>
      </c>
      <c r="AD962" t="n">
        <v>1</v>
      </c>
      <c r="AE962" t="n">
        <v>1</v>
      </c>
      <c r="AF962" t="n">
        <v>1</v>
      </c>
      <c r="AG962" t="n">
        <v>1</v>
      </c>
      <c r="AH962" t="n">
        <v>1</v>
      </c>
      <c r="AI962" t="n">
        <v>1</v>
      </c>
      <c r="AJ962" t="n">
        <v>0</v>
      </c>
      <c r="AK962" t="n">
        <v>0</v>
      </c>
      <c r="AL962" t="n">
        <v>0</v>
      </c>
      <c r="AM962" t="n">
        <v>0</v>
      </c>
      <c r="AN962" t="n">
        <v>0</v>
      </c>
      <c r="AO962" t="n">
        <v>0</v>
      </c>
      <c r="AP962" t="n">
        <v>0</v>
      </c>
      <c r="AQ962" t="n">
        <v>0</v>
      </c>
      <c r="AR962" t="inlineStr">
        <is>
          <t>No</t>
        </is>
      </c>
      <c r="AS962" t="inlineStr">
        <is>
          <t>Yes</t>
        </is>
      </c>
      <c r="AT962">
        <f>HYPERLINK("http://catalog.hathitrust.org/Record/003970473","HathiTrust Record")</f>
        <v/>
      </c>
      <c r="AU962">
        <f>HYPERLINK("https://creighton-primo.hosted.exlibrisgroup.com/primo-explore/search?tab=default_tab&amp;search_scope=EVERYTHING&amp;vid=01CRU&amp;lang=en_US&amp;offset=0&amp;query=any,contains,991001534579702656","Catalog Record")</f>
        <v/>
      </c>
      <c r="AV962">
        <f>HYPERLINK("http://www.worldcat.org/oclc/37665878","WorldCat Record")</f>
        <v/>
      </c>
      <c r="AW962" t="inlineStr">
        <is>
          <t>2219620757:eng</t>
        </is>
      </c>
      <c r="AX962" t="inlineStr">
        <is>
          <t>37665878</t>
        </is>
      </c>
      <c r="AY962" t="inlineStr">
        <is>
          <t>991001534579702656</t>
        </is>
      </c>
      <c r="AZ962" t="inlineStr">
        <is>
          <t>991001534579702656</t>
        </is>
      </c>
      <c r="BA962" t="inlineStr">
        <is>
          <t>2269894020002656</t>
        </is>
      </c>
      <c r="BB962" t="inlineStr">
        <is>
          <t>BOOK</t>
        </is>
      </c>
      <c r="BD962" t="inlineStr">
        <is>
          <t>9780786311194</t>
        </is>
      </c>
      <c r="BE962" t="inlineStr">
        <is>
          <t>30001003962349</t>
        </is>
      </c>
      <c r="BF962" t="inlineStr">
        <is>
          <t>893633171</t>
        </is>
      </c>
    </row>
    <row r="963">
      <c r="A963" t="inlineStr">
        <is>
          <t>No</t>
        </is>
      </c>
      <c r="B963" t="inlineStr">
        <is>
          <t>CUHSL</t>
        </is>
      </c>
      <c r="C963" t="inlineStr">
        <is>
          <t>SHELVES</t>
        </is>
      </c>
      <c r="D963" t="inlineStr">
        <is>
          <t>W 130 AC2 P4c 1997</t>
        </is>
      </c>
      <c r="E963" t="inlineStr">
        <is>
          <t>0                      W  0130000AC 2                  P  4c          1997</t>
        </is>
      </c>
      <c r="F963" t="inlineStr">
        <is>
          <t>Capitation in California : a study of physician organizations managing risk / Maurice J. Penner.</t>
        </is>
      </c>
      <c r="H963" t="inlineStr">
        <is>
          <t>No</t>
        </is>
      </c>
      <c r="I963" t="inlineStr">
        <is>
          <t>1</t>
        </is>
      </c>
      <c r="J963" t="inlineStr">
        <is>
          <t>No</t>
        </is>
      </c>
      <c r="K963" t="inlineStr">
        <is>
          <t>No</t>
        </is>
      </c>
      <c r="L963" t="inlineStr">
        <is>
          <t>0</t>
        </is>
      </c>
      <c r="M963" t="inlineStr">
        <is>
          <t>Penner, Maurice J.</t>
        </is>
      </c>
      <c r="N963" t="inlineStr">
        <is>
          <t>Chicago, IL : Health Administration Press, c1997.</t>
        </is>
      </c>
      <c r="O963" t="inlineStr">
        <is>
          <t>1997</t>
        </is>
      </c>
      <c r="Q963" t="inlineStr">
        <is>
          <t>eng</t>
        </is>
      </c>
      <c r="R963" t="inlineStr">
        <is>
          <t>ilu</t>
        </is>
      </c>
      <c r="T963" t="inlineStr">
        <is>
          <t xml:space="preserve">W  </t>
        </is>
      </c>
      <c r="U963" t="n">
        <v>2</v>
      </c>
      <c r="V963" t="n">
        <v>2</v>
      </c>
      <c r="W963" t="inlineStr">
        <is>
          <t>1998-11-03</t>
        </is>
      </c>
      <c r="X963" t="inlineStr">
        <is>
          <t>1998-11-03</t>
        </is>
      </c>
      <c r="Y963" t="inlineStr">
        <is>
          <t>1998-10-29</t>
        </is>
      </c>
      <c r="Z963" t="inlineStr">
        <is>
          <t>1998-10-29</t>
        </is>
      </c>
      <c r="AA963" t="n">
        <v>79</v>
      </c>
      <c r="AB963" t="n">
        <v>75</v>
      </c>
      <c r="AC963" t="n">
        <v>80</v>
      </c>
      <c r="AD963" t="n">
        <v>1</v>
      </c>
      <c r="AE963" t="n">
        <v>1</v>
      </c>
      <c r="AF963" t="n">
        <v>4</v>
      </c>
      <c r="AG963" t="n">
        <v>4</v>
      </c>
      <c r="AH963" t="n">
        <v>1</v>
      </c>
      <c r="AI963" t="n">
        <v>1</v>
      </c>
      <c r="AJ963" t="n">
        <v>1</v>
      </c>
      <c r="AK963" t="n">
        <v>1</v>
      </c>
      <c r="AL963" t="n">
        <v>2</v>
      </c>
      <c r="AM963" t="n">
        <v>2</v>
      </c>
      <c r="AN963" t="n">
        <v>0</v>
      </c>
      <c r="AO963" t="n">
        <v>0</v>
      </c>
      <c r="AP963" t="n">
        <v>1</v>
      </c>
      <c r="AQ963" t="n">
        <v>1</v>
      </c>
      <c r="AR963" t="inlineStr">
        <is>
          <t>No</t>
        </is>
      </c>
      <c r="AS963" t="inlineStr">
        <is>
          <t>No</t>
        </is>
      </c>
      <c r="AU963">
        <f>HYPERLINK("https://creighton-primo.hosted.exlibrisgroup.com/primo-explore/search?tab=default_tab&amp;search_scope=EVERYTHING&amp;vid=01CRU&amp;lang=en_US&amp;offset=0&amp;query=any,contains,991001483059702656","Catalog Record")</f>
        <v/>
      </c>
      <c r="AV963">
        <f>HYPERLINK("http://www.worldcat.org/oclc/35771377","WorldCat Record")</f>
        <v/>
      </c>
      <c r="AW963" t="inlineStr">
        <is>
          <t>2070702833:eng</t>
        </is>
      </c>
      <c r="AX963" t="inlineStr">
        <is>
          <t>35771377</t>
        </is>
      </c>
      <c r="AY963" t="inlineStr">
        <is>
          <t>991001483059702656</t>
        </is>
      </c>
      <c r="AZ963" t="inlineStr">
        <is>
          <t>991001483059702656</t>
        </is>
      </c>
      <c r="BA963" t="inlineStr">
        <is>
          <t>2268942610002656</t>
        </is>
      </c>
      <c r="BB963" t="inlineStr">
        <is>
          <t>BOOK</t>
        </is>
      </c>
      <c r="BD963" t="inlineStr">
        <is>
          <t>9781567930511</t>
        </is>
      </c>
      <c r="BE963" t="inlineStr">
        <is>
          <t>30001003911999</t>
        </is>
      </c>
      <c r="BF963" t="inlineStr">
        <is>
          <t>893287442</t>
        </is>
      </c>
    </row>
    <row r="964">
      <c r="A964" t="inlineStr">
        <is>
          <t>No</t>
        </is>
      </c>
      <c r="B964" t="inlineStr">
        <is>
          <t>CUHSL</t>
        </is>
      </c>
      <c r="C964" t="inlineStr">
        <is>
          <t>SHELVES</t>
        </is>
      </c>
      <c r="D964" t="inlineStr">
        <is>
          <t>W 130 E84 1999</t>
        </is>
      </c>
      <c r="E964" t="inlineStr">
        <is>
          <t>0                      W  0130000E  84          1999</t>
        </is>
      </c>
      <c r="F964" t="inlineStr">
        <is>
          <t>Ethical challenges in managed care : a casebook / edited by Karen G. Gervais ... [et al.].</t>
        </is>
      </c>
      <c r="H964" t="inlineStr">
        <is>
          <t>No</t>
        </is>
      </c>
      <c r="I964" t="inlineStr">
        <is>
          <t>1</t>
        </is>
      </c>
      <c r="J964" t="inlineStr">
        <is>
          <t>No</t>
        </is>
      </c>
      <c r="K964" t="inlineStr">
        <is>
          <t>No</t>
        </is>
      </c>
      <c r="L964" t="inlineStr">
        <is>
          <t>0</t>
        </is>
      </c>
      <c r="N964" t="inlineStr">
        <is>
          <t>Washington, D.C. : Georgetown University Press, c1999.</t>
        </is>
      </c>
      <c r="O964" t="inlineStr">
        <is>
          <t>1999</t>
        </is>
      </c>
      <c r="Q964" t="inlineStr">
        <is>
          <t>eng</t>
        </is>
      </c>
      <c r="R964" t="inlineStr">
        <is>
          <t>dcu</t>
        </is>
      </c>
      <c r="T964" t="inlineStr">
        <is>
          <t xml:space="preserve">W  </t>
        </is>
      </c>
      <c r="U964" t="n">
        <v>4</v>
      </c>
      <c r="V964" t="n">
        <v>4</v>
      </c>
      <c r="W964" t="inlineStr">
        <is>
          <t>2000-03-27</t>
        </is>
      </c>
      <c r="X964" t="inlineStr">
        <is>
          <t>2000-03-27</t>
        </is>
      </c>
      <c r="Y964" t="inlineStr">
        <is>
          <t>1999-11-16</t>
        </is>
      </c>
      <c r="Z964" t="inlineStr">
        <is>
          <t>1999-11-16</t>
        </is>
      </c>
      <c r="AA964" t="n">
        <v>320</v>
      </c>
      <c r="AB964" t="n">
        <v>290</v>
      </c>
      <c r="AC964" t="n">
        <v>295</v>
      </c>
      <c r="AD964" t="n">
        <v>2</v>
      </c>
      <c r="AE964" t="n">
        <v>2</v>
      </c>
      <c r="AF964" t="n">
        <v>16</v>
      </c>
      <c r="AG964" t="n">
        <v>16</v>
      </c>
      <c r="AH964" t="n">
        <v>5</v>
      </c>
      <c r="AI964" t="n">
        <v>5</v>
      </c>
      <c r="AJ964" t="n">
        <v>5</v>
      </c>
      <c r="AK964" t="n">
        <v>5</v>
      </c>
      <c r="AL964" t="n">
        <v>10</v>
      </c>
      <c r="AM964" t="n">
        <v>10</v>
      </c>
      <c r="AN964" t="n">
        <v>1</v>
      </c>
      <c r="AO964" t="n">
        <v>1</v>
      </c>
      <c r="AP964" t="n">
        <v>2</v>
      </c>
      <c r="AQ964" t="n">
        <v>2</v>
      </c>
      <c r="AR964" t="inlineStr">
        <is>
          <t>No</t>
        </is>
      </c>
      <c r="AS964" t="inlineStr">
        <is>
          <t>No</t>
        </is>
      </c>
      <c r="AU964">
        <f>HYPERLINK("https://creighton-primo.hosted.exlibrisgroup.com/primo-explore/search?tab=default_tab&amp;search_scope=EVERYTHING&amp;vid=01CRU&amp;lang=en_US&amp;offset=0&amp;query=any,contains,991001408679702656","Catalog Record")</f>
        <v/>
      </c>
      <c r="AV964">
        <f>HYPERLINK("http://www.worldcat.org/oclc/39981766","WorldCat Record")</f>
        <v/>
      </c>
      <c r="AW964" t="inlineStr">
        <is>
          <t>891344353:eng</t>
        </is>
      </c>
      <c r="AX964" t="inlineStr">
        <is>
          <t>39981766</t>
        </is>
      </c>
      <c r="AY964" t="inlineStr">
        <is>
          <t>991001408679702656</t>
        </is>
      </c>
      <c r="AZ964" t="inlineStr">
        <is>
          <t>991001408679702656</t>
        </is>
      </c>
      <c r="BA964" t="inlineStr">
        <is>
          <t>2258361240002656</t>
        </is>
      </c>
      <c r="BB964" t="inlineStr">
        <is>
          <t>BOOK</t>
        </is>
      </c>
      <c r="BD964" t="inlineStr">
        <is>
          <t>9780878407187</t>
        </is>
      </c>
      <c r="BE964" t="inlineStr">
        <is>
          <t>30001003830215</t>
        </is>
      </c>
      <c r="BF964" t="inlineStr">
        <is>
          <t>893460563</t>
        </is>
      </c>
    </row>
    <row r="965">
      <c r="A965" t="inlineStr">
        <is>
          <t>No</t>
        </is>
      </c>
      <c r="B965" t="inlineStr">
        <is>
          <t>CUHSL</t>
        </is>
      </c>
      <c r="C965" t="inlineStr">
        <is>
          <t>SHELVES</t>
        </is>
      </c>
      <c r="D965" t="inlineStr">
        <is>
          <t>W 130 G562 1999</t>
        </is>
      </c>
      <c r="E965" t="inlineStr">
        <is>
          <t>0                      W  0130000G  562         1999</t>
        </is>
      </c>
      <c r="F965" t="inlineStr">
        <is>
          <t>Global fees for episodes of care : new approaches to the purchasing of healthcare / [edited by] Douglas W. Emery.</t>
        </is>
      </c>
      <c r="H965" t="inlineStr">
        <is>
          <t>No</t>
        </is>
      </c>
      <c r="I965" t="inlineStr">
        <is>
          <t>1</t>
        </is>
      </c>
      <c r="J965" t="inlineStr">
        <is>
          <t>No</t>
        </is>
      </c>
      <c r="K965" t="inlineStr">
        <is>
          <t>No</t>
        </is>
      </c>
      <c r="L965" t="inlineStr">
        <is>
          <t>0</t>
        </is>
      </c>
      <c r="N965" t="inlineStr">
        <is>
          <t>New York : McGraw Hill : Healthcare Financial Management Association, c1999.</t>
        </is>
      </c>
      <c r="O965" t="inlineStr">
        <is>
          <t>1999</t>
        </is>
      </c>
      <c r="Q965" t="inlineStr">
        <is>
          <t>eng</t>
        </is>
      </c>
      <c r="R965" t="inlineStr">
        <is>
          <t>nyu</t>
        </is>
      </c>
      <c r="T965" t="inlineStr">
        <is>
          <t xml:space="preserve">W  </t>
        </is>
      </c>
      <c r="U965" t="n">
        <v>1</v>
      </c>
      <c r="V965" t="n">
        <v>1</v>
      </c>
      <c r="W965" t="inlineStr">
        <is>
          <t>2004-09-24</t>
        </is>
      </c>
      <c r="X965" t="inlineStr">
        <is>
          <t>2004-09-24</t>
        </is>
      </c>
      <c r="Y965" t="inlineStr">
        <is>
          <t>2004-09-24</t>
        </is>
      </c>
      <c r="Z965" t="inlineStr">
        <is>
          <t>2004-09-24</t>
        </is>
      </c>
      <c r="AA965" t="n">
        <v>53</v>
      </c>
      <c r="AB965" t="n">
        <v>53</v>
      </c>
      <c r="AC965" t="n">
        <v>53</v>
      </c>
      <c r="AD965" t="n">
        <v>1</v>
      </c>
      <c r="AE965" t="n">
        <v>1</v>
      </c>
      <c r="AF965" t="n">
        <v>2</v>
      </c>
      <c r="AG965" t="n">
        <v>2</v>
      </c>
      <c r="AH965" t="n">
        <v>0</v>
      </c>
      <c r="AI965" t="n">
        <v>0</v>
      </c>
      <c r="AJ965" t="n">
        <v>1</v>
      </c>
      <c r="AK965" t="n">
        <v>1</v>
      </c>
      <c r="AL965" t="n">
        <v>1</v>
      </c>
      <c r="AM965" t="n">
        <v>1</v>
      </c>
      <c r="AN965" t="n">
        <v>0</v>
      </c>
      <c r="AO965" t="n">
        <v>0</v>
      </c>
      <c r="AP965" t="n">
        <v>0</v>
      </c>
      <c r="AQ965" t="n">
        <v>0</v>
      </c>
      <c r="AR965" t="inlineStr">
        <is>
          <t>No</t>
        </is>
      </c>
      <c r="AS965" t="inlineStr">
        <is>
          <t>No</t>
        </is>
      </c>
      <c r="AU965">
        <f>HYPERLINK("https://creighton-primo.hosted.exlibrisgroup.com/primo-explore/search?tab=default_tab&amp;search_scope=EVERYTHING&amp;vid=01CRU&amp;lang=en_US&amp;offset=0&amp;query=any,contains,991000396289702656","Catalog Record")</f>
        <v/>
      </c>
      <c r="AV965">
        <f>HYPERLINK("http://www.worldcat.org/oclc/39764036","WorldCat Record")</f>
        <v/>
      </c>
      <c r="AW965" t="inlineStr">
        <is>
          <t>41758364:eng</t>
        </is>
      </c>
      <c r="AX965" t="inlineStr">
        <is>
          <t>39764036</t>
        </is>
      </c>
      <c r="AY965" t="inlineStr">
        <is>
          <t>991000396289702656</t>
        </is>
      </c>
      <c r="AZ965" t="inlineStr">
        <is>
          <t>991000396289702656</t>
        </is>
      </c>
      <c r="BA965" t="inlineStr">
        <is>
          <t>2266303420002656</t>
        </is>
      </c>
      <c r="BB965" t="inlineStr">
        <is>
          <t>BOOK</t>
        </is>
      </c>
      <c r="BD965" t="inlineStr">
        <is>
          <t>9780070220577</t>
        </is>
      </c>
      <c r="BE965" t="inlineStr">
        <is>
          <t>30001004978708</t>
        </is>
      </c>
      <c r="BF965" t="inlineStr">
        <is>
          <t>893633855</t>
        </is>
      </c>
    </row>
    <row r="966">
      <c r="A966" t="inlineStr">
        <is>
          <t>No</t>
        </is>
      </c>
      <c r="B966" t="inlineStr">
        <is>
          <t>CUHSL</t>
        </is>
      </c>
      <c r="C966" t="inlineStr">
        <is>
          <t>SHELVES</t>
        </is>
      </c>
      <c r="D966" t="inlineStr">
        <is>
          <t>W 130 K71m 1998</t>
        </is>
      </c>
      <c r="E966" t="inlineStr">
        <is>
          <t>0                      W  0130000K  71m         1998</t>
        </is>
      </c>
      <c r="F966" t="inlineStr">
        <is>
          <t>Managed care : what it is and how it works / Wendy Knight.</t>
        </is>
      </c>
      <c r="H966" t="inlineStr">
        <is>
          <t>No</t>
        </is>
      </c>
      <c r="I966" t="inlineStr">
        <is>
          <t>1</t>
        </is>
      </c>
      <c r="J966" t="inlineStr">
        <is>
          <t>No</t>
        </is>
      </c>
      <c r="K966" t="inlineStr">
        <is>
          <t>No</t>
        </is>
      </c>
      <c r="L966" t="inlineStr">
        <is>
          <t>0</t>
        </is>
      </c>
      <c r="M966" t="inlineStr">
        <is>
          <t>Knight, Wendy.</t>
        </is>
      </c>
      <c r="N966" t="inlineStr">
        <is>
          <t>Gaithersburg, Md. : Aspen Publishers, c1998.</t>
        </is>
      </c>
      <c r="O966" t="inlineStr">
        <is>
          <t>1998</t>
        </is>
      </c>
      <c r="Q966" t="inlineStr">
        <is>
          <t>eng</t>
        </is>
      </c>
      <c r="R966" t="inlineStr">
        <is>
          <t>mdu</t>
        </is>
      </c>
      <c r="T966" t="inlineStr">
        <is>
          <t xml:space="preserve">W  </t>
        </is>
      </c>
      <c r="U966" t="n">
        <v>11</v>
      </c>
      <c r="V966" t="n">
        <v>11</v>
      </c>
      <c r="W966" t="inlineStr">
        <is>
          <t>2005-10-05</t>
        </is>
      </c>
      <c r="X966" t="inlineStr">
        <is>
          <t>2005-10-05</t>
        </is>
      </c>
      <c r="Y966" t="inlineStr">
        <is>
          <t>1999-01-28</t>
        </is>
      </c>
      <c r="Z966" t="inlineStr">
        <is>
          <t>1999-01-28</t>
        </is>
      </c>
      <c r="AA966" t="n">
        <v>390</v>
      </c>
      <c r="AB966" t="n">
        <v>365</v>
      </c>
      <c r="AC966" t="n">
        <v>371</v>
      </c>
      <c r="AD966" t="n">
        <v>3</v>
      </c>
      <c r="AE966" t="n">
        <v>3</v>
      </c>
      <c r="AF966" t="n">
        <v>15</v>
      </c>
      <c r="AG966" t="n">
        <v>15</v>
      </c>
      <c r="AH966" t="n">
        <v>4</v>
      </c>
      <c r="AI966" t="n">
        <v>4</v>
      </c>
      <c r="AJ966" t="n">
        <v>4</v>
      </c>
      <c r="AK966" t="n">
        <v>4</v>
      </c>
      <c r="AL966" t="n">
        <v>8</v>
      </c>
      <c r="AM966" t="n">
        <v>8</v>
      </c>
      <c r="AN966" t="n">
        <v>2</v>
      </c>
      <c r="AO966" t="n">
        <v>2</v>
      </c>
      <c r="AP966" t="n">
        <v>0</v>
      </c>
      <c r="AQ966" t="n">
        <v>0</v>
      </c>
      <c r="AR966" t="inlineStr">
        <is>
          <t>No</t>
        </is>
      </c>
      <c r="AS966" t="inlineStr">
        <is>
          <t>Yes</t>
        </is>
      </c>
      <c r="AT966">
        <f>HYPERLINK("http://catalog.hathitrust.org/Record/004014207","HathiTrust Record")</f>
        <v/>
      </c>
      <c r="AU966">
        <f>HYPERLINK("https://creighton-primo.hosted.exlibrisgroup.com/primo-explore/search?tab=default_tab&amp;search_scope=EVERYTHING&amp;vid=01CRU&amp;lang=en_US&amp;offset=0&amp;query=any,contains,991001533039702656","Catalog Record")</f>
        <v/>
      </c>
      <c r="AV966">
        <f>HYPERLINK("http://www.worldcat.org/oclc/39478170","WorldCat Record")</f>
        <v/>
      </c>
      <c r="AW966" t="inlineStr">
        <is>
          <t>477630730:eng</t>
        </is>
      </c>
      <c r="AX966" t="inlineStr">
        <is>
          <t>39478170</t>
        </is>
      </c>
      <c r="AY966" t="inlineStr">
        <is>
          <t>991001533039702656</t>
        </is>
      </c>
      <c r="AZ966" t="inlineStr">
        <is>
          <t>991001533039702656</t>
        </is>
      </c>
      <c r="BA966" t="inlineStr">
        <is>
          <t>2272050570002656</t>
        </is>
      </c>
      <c r="BB966" t="inlineStr">
        <is>
          <t>BOOK</t>
        </is>
      </c>
      <c r="BD966" t="inlineStr">
        <is>
          <t>9780834210899</t>
        </is>
      </c>
      <c r="BE966" t="inlineStr">
        <is>
          <t>30001003962067</t>
        </is>
      </c>
      <c r="BF966" t="inlineStr">
        <is>
          <t>893561067</t>
        </is>
      </c>
    </row>
    <row r="967">
      <c r="A967" t="inlineStr">
        <is>
          <t>No</t>
        </is>
      </c>
      <c r="B967" t="inlineStr">
        <is>
          <t>CUHSL</t>
        </is>
      </c>
      <c r="C967" t="inlineStr">
        <is>
          <t>SHELVES</t>
        </is>
      </c>
      <c r="D967" t="inlineStr">
        <is>
          <t>W 130 T592m 1999</t>
        </is>
      </c>
      <c r="E967" t="inlineStr">
        <is>
          <t>0                      W  0130000T  592m        1999</t>
        </is>
      </c>
      <c r="F967" t="inlineStr">
        <is>
          <t>Managed care contracting : successful negotiation strategies / Reed Tinsley.</t>
        </is>
      </c>
      <c r="H967" t="inlineStr">
        <is>
          <t>No</t>
        </is>
      </c>
      <c r="I967" t="inlineStr">
        <is>
          <t>1</t>
        </is>
      </c>
      <c r="J967" t="inlineStr">
        <is>
          <t>No</t>
        </is>
      </c>
      <c r="K967" t="inlineStr">
        <is>
          <t>No</t>
        </is>
      </c>
      <c r="L967" t="inlineStr">
        <is>
          <t>0</t>
        </is>
      </c>
      <c r="M967" t="inlineStr">
        <is>
          <t>Tinsley, Reed.</t>
        </is>
      </c>
      <c r="N967" t="inlineStr">
        <is>
          <t>Chicago, Ill : American Medical Association, 1999.</t>
        </is>
      </c>
      <c r="O967" t="inlineStr">
        <is>
          <t>1999</t>
        </is>
      </c>
      <c r="Q967" t="inlineStr">
        <is>
          <t>eng</t>
        </is>
      </c>
      <c r="R967" t="inlineStr">
        <is>
          <t>ilu</t>
        </is>
      </c>
      <c r="T967" t="inlineStr">
        <is>
          <t xml:space="preserve">W  </t>
        </is>
      </c>
      <c r="U967" t="n">
        <v>0</v>
      </c>
      <c r="V967" t="n">
        <v>0</v>
      </c>
      <c r="W967" t="inlineStr">
        <is>
          <t>2004-08-31</t>
        </is>
      </c>
      <c r="X967" t="inlineStr">
        <is>
          <t>2004-08-31</t>
        </is>
      </c>
      <c r="Y967" t="inlineStr">
        <is>
          <t>2004-08-31</t>
        </is>
      </c>
      <c r="Z967" t="inlineStr">
        <is>
          <t>2004-08-31</t>
        </is>
      </c>
      <c r="AA967" t="n">
        <v>38</v>
      </c>
      <c r="AB967" t="n">
        <v>37</v>
      </c>
      <c r="AC967" t="n">
        <v>39</v>
      </c>
      <c r="AD967" t="n">
        <v>1</v>
      </c>
      <c r="AE967" t="n">
        <v>1</v>
      </c>
      <c r="AF967" t="n">
        <v>2</v>
      </c>
      <c r="AG967" t="n">
        <v>2</v>
      </c>
      <c r="AH967" t="n">
        <v>0</v>
      </c>
      <c r="AI967" t="n">
        <v>0</v>
      </c>
      <c r="AJ967" t="n">
        <v>1</v>
      </c>
      <c r="AK967" t="n">
        <v>1</v>
      </c>
      <c r="AL967" t="n">
        <v>2</v>
      </c>
      <c r="AM967" t="n">
        <v>2</v>
      </c>
      <c r="AN967" t="n">
        <v>0</v>
      </c>
      <c r="AO967" t="n">
        <v>0</v>
      </c>
      <c r="AP967" t="n">
        <v>0</v>
      </c>
      <c r="AQ967" t="n">
        <v>0</v>
      </c>
      <c r="AR967" t="inlineStr">
        <is>
          <t>No</t>
        </is>
      </c>
      <c r="AS967" t="inlineStr">
        <is>
          <t>Yes</t>
        </is>
      </c>
      <c r="AT967">
        <f>HYPERLINK("http://catalog.hathitrust.org/Record/009819655","HathiTrust Record")</f>
        <v/>
      </c>
      <c r="AU967">
        <f>HYPERLINK("https://creighton-primo.hosted.exlibrisgroup.com/primo-explore/search?tab=default_tab&amp;search_scope=EVERYTHING&amp;vid=01CRU&amp;lang=en_US&amp;offset=0&amp;query=any,contains,991000381649702656","Catalog Record")</f>
        <v/>
      </c>
      <c r="AV967">
        <f>HYPERLINK("http://www.worldcat.org/oclc/42009376","WorldCat Record")</f>
        <v/>
      </c>
      <c r="AW967" t="inlineStr">
        <is>
          <t>27043468:eng</t>
        </is>
      </c>
      <c r="AX967" t="inlineStr">
        <is>
          <t>42009376</t>
        </is>
      </c>
      <c r="AY967" t="inlineStr">
        <is>
          <t>991000381649702656</t>
        </is>
      </c>
      <c r="AZ967" t="inlineStr">
        <is>
          <t>991000381649702656</t>
        </is>
      </c>
      <c r="BA967" t="inlineStr">
        <is>
          <t>2259154530002656</t>
        </is>
      </c>
      <c r="BB967" t="inlineStr">
        <is>
          <t>BOOK</t>
        </is>
      </c>
      <c r="BD967" t="inlineStr">
        <is>
          <t>9781579470050</t>
        </is>
      </c>
      <c r="BE967" t="inlineStr">
        <is>
          <t>30001004841187</t>
        </is>
      </c>
      <c r="BF967" t="inlineStr">
        <is>
          <t>893269419</t>
        </is>
      </c>
    </row>
    <row r="968">
      <c r="A968" t="inlineStr">
        <is>
          <t>No</t>
        </is>
      </c>
      <c r="B968" t="inlineStr">
        <is>
          <t>CUHSL</t>
        </is>
      </c>
      <c r="C968" t="inlineStr">
        <is>
          <t>SHELVES</t>
        </is>
      </c>
      <c r="D968" t="inlineStr">
        <is>
          <t>W 130.1 C244 1998</t>
        </is>
      </c>
      <c r="E968" t="inlineStr">
        <is>
          <t>0                      W  0130100C  244         1998</t>
        </is>
      </c>
      <c r="F968" t="inlineStr">
        <is>
          <t>Capitation : tools, trends, traps, and techniques : a textbook for provider-sponsored organizations / edited by R.S. Venable.</t>
        </is>
      </c>
      <c r="H968" t="inlineStr">
        <is>
          <t>No</t>
        </is>
      </c>
      <c r="I968" t="inlineStr">
        <is>
          <t>1</t>
        </is>
      </c>
      <c r="J968" t="inlineStr">
        <is>
          <t>No</t>
        </is>
      </c>
      <c r="K968" t="inlineStr">
        <is>
          <t>No</t>
        </is>
      </c>
      <c r="L968" t="inlineStr">
        <is>
          <t>0</t>
        </is>
      </c>
      <c r="N968" t="inlineStr">
        <is>
          <t>Los Angeles, CA : Practice Management Information Corp., c1998.</t>
        </is>
      </c>
      <c r="O968" t="inlineStr">
        <is>
          <t>1998</t>
        </is>
      </c>
      <c r="Q968" t="inlineStr">
        <is>
          <t>eng</t>
        </is>
      </c>
      <c r="R968" t="inlineStr">
        <is>
          <t>cau</t>
        </is>
      </c>
      <c r="T968" t="inlineStr">
        <is>
          <t xml:space="preserve">W  </t>
        </is>
      </c>
      <c r="U968" t="n">
        <v>0</v>
      </c>
      <c r="V968" t="n">
        <v>0</v>
      </c>
      <c r="W968" t="inlineStr">
        <is>
          <t>2004-10-04</t>
        </is>
      </c>
      <c r="X968" t="inlineStr">
        <is>
          <t>2004-10-04</t>
        </is>
      </c>
      <c r="Y968" t="inlineStr">
        <is>
          <t>2004-09-29</t>
        </is>
      </c>
      <c r="Z968" t="inlineStr">
        <is>
          <t>2004-09-29</t>
        </is>
      </c>
      <c r="AA968" t="n">
        <v>24</v>
      </c>
      <c r="AB968" t="n">
        <v>24</v>
      </c>
      <c r="AC968" t="n">
        <v>24</v>
      </c>
      <c r="AD968" t="n">
        <v>1</v>
      </c>
      <c r="AE968" t="n">
        <v>1</v>
      </c>
      <c r="AF968" t="n">
        <v>1</v>
      </c>
      <c r="AG968" t="n">
        <v>1</v>
      </c>
      <c r="AH968" t="n">
        <v>1</v>
      </c>
      <c r="AI968" t="n">
        <v>1</v>
      </c>
      <c r="AJ968" t="n">
        <v>0</v>
      </c>
      <c r="AK968" t="n">
        <v>0</v>
      </c>
      <c r="AL968" t="n">
        <v>1</v>
      </c>
      <c r="AM968" t="n">
        <v>1</v>
      </c>
      <c r="AN968" t="n">
        <v>0</v>
      </c>
      <c r="AO968" t="n">
        <v>0</v>
      </c>
      <c r="AP968" t="n">
        <v>0</v>
      </c>
      <c r="AQ968" t="n">
        <v>0</v>
      </c>
      <c r="AR968" t="inlineStr">
        <is>
          <t>No</t>
        </is>
      </c>
      <c r="AS968" t="inlineStr">
        <is>
          <t>No</t>
        </is>
      </c>
      <c r="AU968">
        <f>HYPERLINK("https://creighton-primo.hosted.exlibrisgroup.com/primo-explore/search?tab=default_tab&amp;search_scope=EVERYTHING&amp;vid=01CRU&amp;lang=en_US&amp;offset=0&amp;query=any,contains,991000398409702656","Catalog Record")</f>
        <v/>
      </c>
      <c r="AV968">
        <f>HYPERLINK("http://www.worldcat.org/oclc/37947638","WorldCat Record")</f>
        <v/>
      </c>
      <c r="AW968" t="inlineStr">
        <is>
          <t>682259:eng</t>
        </is>
      </c>
      <c r="AX968" t="inlineStr">
        <is>
          <t>37947638</t>
        </is>
      </c>
      <c r="AY968" t="inlineStr">
        <is>
          <t>991000398409702656</t>
        </is>
      </c>
      <c r="AZ968" t="inlineStr">
        <is>
          <t>991000398409702656</t>
        </is>
      </c>
      <c r="BA968" t="inlineStr">
        <is>
          <t>2268242390002656</t>
        </is>
      </c>
      <c r="BB968" t="inlineStr">
        <is>
          <t>BOOK</t>
        </is>
      </c>
      <c r="BD968" t="inlineStr">
        <is>
          <t>9781570660726</t>
        </is>
      </c>
      <c r="BE968" t="inlineStr">
        <is>
          <t>30001004810497</t>
        </is>
      </c>
      <c r="BF968" t="inlineStr">
        <is>
          <t>893649818</t>
        </is>
      </c>
    </row>
    <row r="969">
      <c r="A969" t="inlineStr">
        <is>
          <t>No</t>
        </is>
      </c>
      <c r="B969" t="inlineStr">
        <is>
          <t>CUHSL</t>
        </is>
      </c>
      <c r="C969" t="inlineStr">
        <is>
          <t>SHELVES</t>
        </is>
      </c>
      <c r="D969" t="inlineStr">
        <is>
          <t>W132 AA1 O54h 2001</t>
        </is>
      </c>
      <c r="E969" t="inlineStr">
        <is>
          <t>0                      W  0132000AA 1                  O  54h         2001</t>
        </is>
      </c>
      <c r="F969" t="inlineStr">
        <is>
          <t>Healthcare marketing, sales, and service : an executive companion / John F. O'Malley.</t>
        </is>
      </c>
      <c r="H969" t="inlineStr">
        <is>
          <t>No</t>
        </is>
      </c>
      <c r="I969" t="inlineStr">
        <is>
          <t>1</t>
        </is>
      </c>
      <c r="J969" t="inlineStr">
        <is>
          <t>No</t>
        </is>
      </c>
      <c r="K969" t="inlineStr">
        <is>
          <t>No</t>
        </is>
      </c>
      <c r="L969" t="inlineStr">
        <is>
          <t>0</t>
        </is>
      </c>
      <c r="M969" t="inlineStr">
        <is>
          <t>O'Malley, John F.</t>
        </is>
      </c>
      <c r="N969" t="inlineStr">
        <is>
          <t>Chicago : Health Administration Press, 2001.</t>
        </is>
      </c>
      <c r="O969" t="inlineStr">
        <is>
          <t>2001</t>
        </is>
      </c>
      <c r="Q969" t="inlineStr">
        <is>
          <t>eng</t>
        </is>
      </c>
      <c r="R969" t="inlineStr">
        <is>
          <t>ilu</t>
        </is>
      </c>
      <c r="T969" t="inlineStr">
        <is>
          <t xml:space="preserve">W  </t>
        </is>
      </c>
      <c r="U969" t="n">
        <v>1</v>
      </c>
      <c r="V969" t="n">
        <v>1</v>
      </c>
      <c r="W969" t="inlineStr">
        <is>
          <t>2003-06-09</t>
        </is>
      </c>
      <c r="X969" t="inlineStr">
        <is>
          <t>2003-06-09</t>
        </is>
      </c>
      <c r="Y969" t="inlineStr">
        <is>
          <t>2003-06-06</t>
        </is>
      </c>
      <c r="Z969" t="inlineStr">
        <is>
          <t>2003-06-06</t>
        </is>
      </c>
      <c r="AA969" t="n">
        <v>77</v>
      </c>
      <c r="AB969" t="n">
        <v>73</v>
      </c>
      <c r="AC969" t="n">
        <v>77</v>
      </c>
      <c r="AD969" t="n">
        <v>1</v>
      </c>
      <c r="AE969" t="n">
        <v>1</v>
      </c>
      <c r="AF969" t="n">
        <v>5</v>
      </c>
      <c r="AG969" t="n">
        <v>5</v>
      </c>
      <c r="AH969" t="n">
        <v>2</v>
      </c>
      <c r="AI969" t="n">
        <v>2</v>
      </c>
      <c r="AJ969" t="n">
        <v>2</v>
      </c>
      <c r="AK969" t="n">
        <v>2</v>
      </c>
      <c r="AL969" t="n">
        <v>2</v>
      </c>
      <c r="AM969" t="n">
        <v>2</v>
      </c>
      <c r="AN969" t="n">
        <v>0</v>
      </c>
      <c r="AO969" t="n">
        <v>0</v>
      </c>
      <c r="AP969" t="n">
        <v>0</v>
      </c>
      <c r="AQ969" t="n">
        <v>0</v>
      </c>
      <c r="AR969" t="inlineStr">
        <is>
          <t>No</t>
        </is>
      </c>
      <c r="AS969" t="inlineStr">
        <is>
          <t>Yes</t>
        </is>
      </c>
      <c r="AT969">
        <f>HYPERLINK("http://catalog.hathitrust.org/Record/009148051","HathiTrust Record")</f>
        <v/>
      </c>
      <c r="AU969">
        <f>HYPERLINK("https://creighton-primo.hosted.exlibrisgroup.com/primo-explore/search?tab=default_tab&amp;search_scope=EVERYTHING&amp;vid=01CRU&amp;lang=en_US&amp;offset=0&amp;query=any,contains,991000349099702656","Catalog Record")</f>
        <v/>
      </c>
      <c r="AV969">
        <f>HYPERLINK("http://www.worldcat.org/oclc/45066321","WorldCat Record")</f>
        <v/>
      </c>
      <c r="AW969" t="inlineStr">
        <is>
          <t>20868058:eng</t>
        </is>
      </c>
      <c r="AX969" t="inlineStr">
        <is>
          <t>45066321</t>
        </is>
      </c>
      <c r="AY969" t="inlineStr">
        <is>
          <t>991000349099702656</t>
        </is>
      </c>
      <c r="AZ969" t="inlineStr">
        <is>
          <t>991000349099702656</t>
        </is>
      </c>
      <c r="BA969" t="inlineStr">
        <is>
          <t>2270499980002656</t>
        </is>
      </c>
      <c r="BB969" t="inlineStr">
        <is>
          <t>BOOK</t>
        </is>
      </c>
      <c r="BD969" t="inlineStr">
        <is>
          <t>9781567931501</t>
        </is>
      </c>
      <c r="BE969" t="inlineStr">
        <is>
          <t>30001004502862</t>
        </is>
      </c>
      <c r="BF969" t="inlineStr">
        <is>
          <t>893633813</t>
        </is>
      </c>
    </row>
    <row r="970">
      <c r="A970" t="inlineStr">
        <is>
          <t>No</t>
        </is>
      </c>
      <c r="B970" t="inlineStr">
        <is>
          <t>CUHSL</t>
        </is>
      </c>
      <c r="C970" t="inlineStr">
        <is>
          <t>SHELVES</t>
        </is>
      </c>
      <c r="D970" t="inlineStr">
        <is>
          <t>W 132.1 A267 1999</t>
        </is>
      </c>
      <c r="E970" t="inlineStr">
        <is>
          <t>0                      W  0132100A  267         1999</t>
        </is>
      </c>
      <c r="F970" t="inlineStr">
        <is>
          <t>Agility in health care : strategies for mastering turbulent markets / Steven L. Goldman, Carol B. Graham, editors ; foreword by Jeff Goldsmith ; sponsored by Agility Forum.</t>
        </is>
      </c>
      <c r="H970" t="inlineStr">
        <is>
          <t>No</t>
        </is>
      </c>
      <c r="I970" t="inlineStr">
        <is>
          <t>1</t>
        </is>
      </c>
      <c r="J970" t="inlineStr">
        <is>
          <t>No</t>
        </is>
      </c>
      <c r="K970" t="inlineStr">
        <is>
          <t>No</t>
        </is>
      </c>
      <c r="L970" t="inlineStr">
        <is>
          <t>0</t>
        </is>
      </c>
      <c r="N970" t="inlineStr">
        <is>
          <t>San Francisco, Calif. : Jossey-Bass, c1999.</t>
        </is>
      </c>
      <c r="O970" t="inlineStr">
        <is>
          <t>1999</t>
        </is>
      </c>
      <c r="P970" t="inlineStr">
        <is>
          <t>1st ed.</t>
        </is>
      </c>
      <c r="Q970" t="inlineStr">
        <is>
          <t>eng</t>
        </is>
      </c>
      <c r="R970" t="inlineStr">
        <is>
          <t>cau</t>
        </is>
      </c>
      <c r="S970" t="inlineStr">
        <is>
          <t>The Jossey-Bass health series</t>
        </is>
      </c>
      <c r="T970" t="inlineStr">
        <is>
          <t xml:space="preserve">W  </t>
        </is>
      </c>
      <c r="U970" t="n">
        <v>0</v>
      </c>
      <c r="V970" t="n">
        <v>0</v>
      </c>
      <c r="W970" t="inlineStr">
        <is>
          <t>2004-09-24</t>
        </is>
      </c>
      <c r="X970" t="inlineStr">
        <is>
          <t>2004-09-24</t>
        </is>
      </c>
      <c r="Y970" t="inlineStr">
        <is>
          <t>2004-09-24</t>
        </is>
      </c>
      <c r="Z970" t="inlineStr">
        <is>
          <t>2004-09-24</t>
        </is>
      </c>
      <c r="AA970" t="n">
        <v>120</v>
      </c>
      <c r="AB970" t="n">
        <v>108</v>
      </c>
      <c r="AC970" t="n">
        <v>110</v>
      </c>
      <c r="AD970" t="n">
        <v>2</v>
      </c>
      <c r="AE970" t="n">
        <v>2</v>
      </c>
      <c r="AF970" t="n">
        <v>5</v>
      </c>
      <c r="AG970" t="n">
        <v>5</v>
      </c>
      <c r="AH970" t="n">
        <v>0</v>
      </c>
      <c r="AI970" t="n">
        <v>0</v>
      </c>
      <c r="AJ970" t="n">
        <v>2</v>
      </c>
      <c r="AK970" t="n">
        <v>2</v>
      </c>
      <c r="AL970" t="n">
        <v>4</v>
      </c>
      <c r="AM970" t="n">
        <v>4</v>
      </c>
      <c r="AN970" t="n">
        <v>1</v>
      </c>
      <c r="AO970" t="n">
        <v>1</v>
      </c>
      <c r="AP970" t="n">
        <v>0</v>
      </c>
      <c r="AQ970" t="n">
        <v>0</v>
      </c>
      <c r="AR970" t="inlineStr">
        <is>
          <t>No</t>
        </is>
      </c>
      <c r="AS970" t="inlineStr">
        <is>
          <t>Yes</t>
        </is>
      </c>
      <c r="AT970">
        <f>HYPERLINK("http://catalog.hathitrust.org/Record/004015875","HathiTrust Record")</f>
        <v/>
      </c>
      <c r="AU970">
        <f>HYPERLINK("https://creighton-primo.hosted.exlibrisgroup.com/primo-explore/search?tab=default_tab&amp;search_scope=EVERYTHING&amp;vid=01CRU&amp;lang=en_US&amp;offset=0&amp;query=any,contains,991000395889702656","Catalog Record")</f>
        <v/>
      </c>
      <c r="AV970">
        <f>HYPERLINK("http://www.worldcat.org/oclc/39747911","WorldCat Record")</f>
        <v/>
      </c>
      <c r="AW970" t="inlineStr">
        <is>
          <t>910317978:eng</t>
        </is>
      </c>
      <c r="AX970" t="inlineStr">
        <is>
          <t>39747911</t>
        </is>
      </c>
      <c r="AY970" t="inlineStr">
        <is>
          <t>991000395889702656</t>
        </is>
      </c>
      <c r="AZ970" t="inlineStr">
        <is>
          <t>991000395889702656</t>
        </is>
      </c>
      <c r="BA970" t="inlineStr">
        <is>
          <t>2255382520002656</t>
        </is>
      </c>
      <c r="BB970" t="inlineStr">
        <is>
          <t>BOOK</t>
        </is>
      </c>
      <c r="BD970" t="inlineStr">
        <is>
          <t>9780787942113</t>
        </is>
      </c>
      <c r="BE970" t="inlineStr">
        <is>
          <t>30001004978765</t>
        </is>
      </c>
      <c r="BF970" t="inlineStr">
        <is>
          <t>893817070</t>
        </is>
      </c>
    </row>
    <row r="971">
      <c r="A971" t="inlineStr">
        <is>
          <t>No</t>
        </is>
      </c>
      <c r="B971" t="inlineStr">
        <is>
          <t>CUHSL</t>
        </is>
      </c>
      <c r="C971" t="inlineStr">
        <is>
          <t>SHELVES</t>
        </is>
      </c>
      <c r="D971" t="inlineStr">
        <is>
          <t>W132.1 H178i 2000</t>
        </is>
      </c>
      <c r="E971" t="inlineStr">
        <is>
          <t>0                      W  0132100H  178i        2000</t>
        </is>
      </c>
      <c r="F971" t="inlineStr">
        <is>
          <t>An introduction to healthcare organizational ethics / Robert T. Hall.</t>
        </is>
      </c>
      <c r="H971" t="inlineStr">
        <is>
          <t>No</t>
        </is>
      </c>
      <c r="I971" t="inlineStr">
        <is>
          <t>1</t>
        </is>
      </c>
      <c r="J971" t="inlineStr">
        <is>
          <t>No</t>
        </is>
      </c>
      <c r="K971" t="inlineStr">
        <is>
          <t>No</t>
        </is>
      </c>
      <c r="L971" t="inlineStr">
        <is>
          <t>1</t>
        </is>
      </c>
      <c r="M971" t="inlineStr">
        <is>
          <t>Hall, Robert T. (Robert Tom), 1938-</t>
        </is>
      </c>
      <c r="N971" t="inlineStr">
        <is>
          <t>Oxford ; New York : Oxford University Press, 2000.</t>
        </is>
      </c>
      <c r="O971" t="inlineStr">
        <is>
          <t>2000</t>
        </is>
      </c>
      <c r="Q971" t="inlineStr">
        <is>
          <t>eng</t>
        </is>
      </c>
      <c r="R971" t="inlineStr">
        <is>
          <t>enk</t>
        </is>
      </c>
      <c r="T971" t="inlineStr">
        <is>
          <t xml:space="preserve">W  </t>
        </is>
      </c>
      <c r="U971" t="n">
        <v>7</v>
      </c>
      <c r="V971" t="n">
        <v>7</v>
      </c>
      <c r="W971" t="inlineStr">
        <is>
          <t>2005-10-24</t>
        </is>
      </c>
      <c r="X971" t="inlineStr">
        <is>
          <t>2005-10-24</t>
        </is>
      </c>
      <c r="Y971" t="inlineStr">
        <is>
          <t>2002-10-02</t>
        </is>
      </c>
      <c r="Z971" t="inlineStr">
        <is>
          <t>2002-10-02</t>
        </is>
      </c>
      <c r="AA971" t="n">
        <v>314</v>
      </c>
      <c r="AB971" t="n">
        <v>260</v>
      </c>
      <c r="AC971" t="n">
        <v>1192</v>
      </c>
      <c r="AD971" t="n">
        <v>1</v>
      </c>
      <c r="AE971" t="n">
        <v>14</v>
      </c>
      <c r="AF971" t="n">
        <v>15</v>
      </c>
      <c r="AG971" t="n">
        <v>52</v>
      </c>
      <c r="AH971" t="n">
        <v>3</v>
      </c>
      <c r="AI971" t="n">
        <v>14</v>
      </c>
      <c r="AJ971" t="n">
        <v>3</v>
      </c>
      <c r="AK971" t="n">
        <v>11</v>
      </c>
      <c r="AL971" t="n">
        <v>9</v>
      </c>
      <c r="AM971" t="n">
        <v>18</v>
      </c>
      <c r="AN971" t="n">
        <v>0</v>
      </c>
      <c r="AO971" t="n">
        <v>12</v>
      </c>
      <c r="AP971" t="n">
        <v>4</v>
      </c>
      <c r="AQ971" t="n">
        <v>6</v>
      </c>
      <c r="AR971" t="inlineStr">
        <is>
          <t>No</t>
        </is>
      </c>
      <c r="AS971" t="inlineStr">
        <is>
          <t>Yes</t>
        </is>
      </c>
      <c r="AT971">
        <f>HYPERLINK("http://catalog.hathitrust.org/Record/004118494","HathiTrust Record")</f>
        <v/>
      </c>
      <c r="AU971">
        <f>HYPERLINK("https://creighton-primo.hosted.exlibrisgroup.com/primo-explore/search?tab=default_tab&amp;search_scope=EVERYTHING&amp;vid=01CRU&amp;lang=en_US&amp;offset=0&amp;query=any,contains,991000329829702656","Catalog Record")</f>
        <v/>
      </c>
      <c r="AV971">
        <f>HYPERLINK("http://www.worldcat.org/oclc/42643246","WorldCat Record")</f>
        <v/>
      </c>
      <c r="AW971" t="inlineStr">
        <is>
          <t>45126604:eng</t>
        </is>
      </c>
      <c r="AX971" t="inlineStr">
        <is>
          <t>42643246</t>
        </is>
      </c>
      <c r="AY971" t="inlineStr">
        <is>
          <t>991000329829702656</t>
        </is>
      </c>
      <c r="AZ971" t="inlineStr">
        <is>
          <t>991000329829702656</t>
        </is>
      </c>
      <c r="BA971" t="inlineStr">
        <is>
          <t>2259673690002656</t>
        </is>
      </c>
      <c r="BB971" t="inlineStr">
        <is>
          <t>BOOK</t>
        </is>
      </c>
      <c r="BD971" t="inlineStr">
        <is>
          <t>9780195135602</t>
        </is>
      </c>
      <c r="BE971" t="inlineStr">
        <is>
          <t>30001004441038</t>
        </is>
      </c>
      <c r="BF971" t="inlineStr">
        <is>
          <t>893122983</t>
        </is>
      </c>
    </row>
    <row r="972">
      <c r="A972" t="inlineStr">
        <is>
          <t>No</t>
        </is>
      </c>
      <c r="B972" t="inlineStr">
        <is>
          <t>CUHSL</t>
        </is>
      </c>
      <c r="C972" t="inlineStr">
        <is>
          <t>SHELVES</t>
        </is>
      </c>
      <c r="D972" t="inlineStr">
        <is>
          <t>W 225 C692a 1993</t>
        </is>
      </c>
      <c r="E972" t="inlineStr">
        <is>
          <t>0                      W  0225000C  692a        1993</t>
        </is>
      </c>
      <c r="F972" t="inlineStr">
        <is>
          <t>The American health care system : betrayed by greed / Esmond H. Coleman.</t>
        </is>
      </c>
      <c r="H972" t="inlineStr">
        <is>
          <t>No</t>
        </is>
      </c>
      <c r="I972" t="inlineStr">
        <is>
          <t>1</t>
        </is>
      </c>
      <c r="J972" t="inlineStr">
        <is>
          <t>No</t>
        </is>
      </c>
      <c r="K972" t="inlineStr">
        <is>
          <t>No</t>
        </is>
      </c>
      <c r="L972" t="inlineStr">
        <is>
          <t>0</t>
        </is>
      </c>
      <c r="M972" t="inlineStr">
        <is>
          <t>Coleman, Esmond H.</t>
        </is>
      </c>
      <c r="N972" t="inlineStr">
        <is>
          <t>New York : Vantage Press, c1993.</t>
        </is>
      </c>
      <c r="O972" t="inlineStr">
        <is>
          <t>1993</t>
        </is>
      </c>
      <c r="P972" t="inlineStr">
        <is>
          <t>1st ed.</t>
        </is>
      </c>
      <c r="Q972" t="inlineStr">
        <is>
          <t>eng</t>
        </is>
      </c>
      <c r="R972" t="inlineStr">
        <is>
          <t>nyu</t>
        </is>
      </c>
      <c r="T972" t="inlineStr">
        <is>
          <t xml:space="preserve">W  </t>
        </is>
      </c>
      <c r="U972" t="n">
        <v>11</v>
      </c>
      <c r="V972" t="n">
        <v>11</v>
      </c>
      <c r="W972" t="inlineStr">
        <is>
          <t>1995-03-23</t>
        </is>
      </c>
      <c r="X972" t="inlineStr">
        <is>
          <t>1995-03-23</t>
        </is>
      </c>
      <c r="Y972" t="inlineStr">
        <is>
          <t>1993-11-24</t>
        </is>
      </c>
      <c r="Z972" t="inlineStr">
        <is>
          <t>1993-11-24</t>
        </is>
      </c>
      <c r="AA972" t="n">
        <v>7</v>
      </c>
      <c r="AB972" t="n">
        <v>6</v>
      </c>
      <c r="AC972" t="n">
        <v>24</v>
      </c>
      <c r="AD972" t="n">
        <v>1</v>
      </c>
      <c r="AE972" t="n">
        <v>1</v>
      </c>
      <c r="AF972" t="n">
        <v>0</v>
      </c>
      <c r="AG972" t="n">
        <v>1</v>
      </c>
      <c r="AH972" t="n">
        <v>0</v>
      </c>
      <c r="AI972" t="n">
        <v>0</v>
      </c>
      <c r="AJ972" t="n">
        <v>0</v>
      </c>
      <c r="AK972" t="n">
        <v>1</v>
      </c>
      <c r="AL972" t="n">
        <v>0</v>
      </c>
      <c r="AM972" t="n">
        <v>0</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HYPERLINK("https://creighton-primo.hosted.exlibrisgroup.com/primo-explore/search?tab=default_tab&amp;search_scope=EVERYTHING&amp;vid=01CRU&amp;lang=en_US&amp;offset=0&amp;query=any,contains,991001515719702656","Catalog Record")</f>
        <v/>
      </c>
      <c r="AV972">
        <f>HYPERLINK("http://www.worldcat.org/oclc/29338519","WorldCat Record")</f>
        <v/>
      </c>
      <c r="AW972" t="inlineStr">
        <is>
          <t>31757300:eng</t>
        </is>
      </c>
      <c r="AX972" t="inlineStr">
        <is>
          <t>29338519</t>
        </is>
      </c>
      <c r="AY972" t="inlineStr">
        <is>
          <t>991001515719702656</t>
        </is>
      </c>
      <c r="AZ972" t="inlineStr">
        <is>
          <t>991001515719702656</t>
        </is>
      </c>
      <c r="BA972" t="inlineStr">
        <is>
          <t>2260544900002656</t>
        </is>
      </c>
      <c r="BB972" t="inlineStr">
        <is>
          <t>BOOK</t>
        </is>
      </c>
      <c r="BD972" t="inlineStr">
        <is>
          <t>9780533104949</t>
        </is>
      </c>
      <c r="BE972" t="inlineStr">
        <is>
          <t>30001002602136</t>
        </is>
      </c>
      <c r="BF972" t="inlineStr">
        <is>
          <t>893826818</t>
        </is>
      </c>
    </row>
    <row r="973">
      <c r="A973" t="inlineStr">
        <is>
          <t>No</t>
        </is>
      </c>
      <c r="B973" t="inlineStr">
        <is>
          <t>CUHSL</t>
        </is>
      </c>
      <c r="C973" t="inlineStr">
        <is>
          <t>SHELVES</t>
        </is>
      </c>
      <c r="D973" t="inlineStr">
        <is>
          <t>W 225 I34 1992</t>
        </is>
      </c>
      <c r="E973" t="inlineStr">
        <is>
          <t>0                      W  0225000I  34          1992</t>
        </is>
      </c>
      <c r="F973" t="inlineStr">
        <is>
          <t>Improving access to health care : what can the states do? / edited by John H. Goddeeris, Andrew J. Hogan.</t>
        </is>
      </c>
      <c r="H973" t="inlineStr">
        <is>
          <t>No</t>
        </is>
      </c>
      <c r="I973" t="inlineStr">
        <is>
          <t>1</t>
        </is>
      </c>
      <c r="J973" t="inlineStr">
        <is>
          <t>No</t>
        </is>
      </c>
      <c r="K973" t="inlineStr">
        <is>
          <t>No</t>
        </is>
      </c>
      <c r="L973" t="inlineStr">
        <is>
          <t>0</t>
        </is>
      </c>
      <c r="N973" t="inlineStr">
        <is>
          <t>Kalamazoo, Mich. : W.E. Upjohn Institute for Employment Research, c1992.</t>
        </is>
      </c>
      <c r="O973" t="inlineStr">
        <is>
          <t>1992</t>
        </is>
      </c>
      <c r="Q973" t="inlineStr">
        <is>
          <t>eng</t>
        </is>
      </c>
      <c r="R973" t="inlineStr">
        <is>
          <t>xxu</t>
        </is>
      </c>
      <c r="T973" t="inlineStr">
        <is>
          <t xml:space="preserve">W  </t>
        </is>
      </c>
      <c r="U973" t="n">
        <v>25</v>
      </c>
      <c r="V973" t="n">
        <v>25</v>
      </c>
      <c r="W973" t="inlineStr">
        <is>
          <t>1999-07-30</t>
        </is>
      </c>
      <c r="X973" t="inlineStr">
        <is>
          <t>1999-07-30</t>
        </is>
      </c>
      <c r="Y973" t="inlineStr">
        <is>
          <t>1992-04-14</t>
        </is>
      </c>
      <c r="Z973" t="inlineStr">
        <is>
          <t>1992-04-14</t>
        </is>
      </c>
      <c r="AA973" t="n">
        <v>379</v>
      </c>
      <c r="AB973" t="n">
        <v>359</v>
      </c>
      <c r="AC973" t="n">
        <v>363</v>
      </c>
      <c r="AD973" t="n">
        <v>2</v>
      </c>
      <c r="AE973" t="n">
        <v>2</v>
      </c>
      <c r="AF973" t="n">
        <v>23</v>
      </c>
      <c r="AG973" t="n">
        <v>23</v>
      </c>
      <c r="AH973" t="n">
        <v>7</v>
      </c>
      <c r="AI973" t="n">
        <v>7</v>
      </c>
      <c r="AJ973" t="n">
        <v>5</v>
      </c>
      <c r="AK973" t="n">
        <v>5</v>
      </c>
      <c r="AL973" t="n">
        <v>7</v>
      </c>
      <c r="AM973" t="n">
        <v>7</v>
      </c>
      <c r="AN973" t="n">
        <v>1</v>
      </c>
      <c r="AO973" t="n">
        <v>1</v>
      </c>
      <c r="AP973" t="n">
        <v>8</v>
      </c>
      <c r="AQ973" t="n">
        <v>8</v>
      </c>
      <c r="AR973" t="inlineStr">
        <is>
          <t>No</t>
        </is>
      </c>
      <c r="AS973" t="inlineStr">
        <is>
          <t>Yes</t>
        </is>
      </c>
      <c r="AT973">
        <f>HYPERLINK("http://catalog.hathitrust.org/Record/002570432","HathiTrust Record")</f>
        <v/>
      </c>
      <c r="AU973">
        <f>HYPERLINK("https://creighton-primo.hosted.exlibrisgroup.com/primo-explore/search?tab=default_tab&amp;search_scope=EVERYTHING&amp;vid=01CRU&amp;lang=en_US&amp;offset=0&amp;query=any,contains,991001299409702656","Catalog Record")</f>
        <v/>
      </c>
      <c r="AV973">
        <f>HYPERLINK("http://www.worldcat.org/oclc/25282389","WorldCat Record")</f>
        <v/>
      </c>
      <c r="AW973" t="inlineStr">
        <is>
          <t>793979026:eng</t>
        </is>
      </c>
      <c r="AX973" t="inlineStr">
        <is>
          <t>25282389</t>
        </is>
      </c>
      <c r="AY973" t="inlineStr">
        <is>
          <t>991001299409702656</t>
        </is>
      </c>
      <c r="AZ973" t="inlineStr">
        <is>
          <t>991001299409702656</t>
        </is>
      </c>
      <c r="BA973" t="inlineStr">
        <is>
          <t>2271162010002656</t>
        </is>
      </c>
      <c r="BB973" t="inlineStr">
        <is>
          <t>BOOK</t>
        </is>
      </c>
      <c r="BD973" t="inlineStr">
        <is>
          <t>9780880991179</t>
        </is>
      </c>
      <c r="BE973" t="inlineStr">
        <is>
          <t>30001002411264</t>
        </is>
      </c>
      <c r="BF973" t="inlineStr">
        <is>
          <t>893134456</t>
        </is>
      </c>
    </row>
    <row r="974">
      <c r="A974" t="inlineStr">
        <is>
          <t>No</t>
        </is>
      </c>
      <c r="B974" t="inlineStr">
        <is>
          <t>CUHSL</t>
        </is>
      </c>
      <c r="C974" t="inlineStr">
        <is>
          <t>SHELVES</t>
        </is>
      </c>
      <c r="D974" t="inlineStr">
        <is>
          <t>W 225 I61mi 1977</t>
        </is>
      </c>
      <c r="E974" t="inlineStr">
        <is>
          <t>0                      W  0225000I  61mi        1977</t>
        </is>
      </c>
      <c r="F974" t="inlineStr">
        <is>
          <t>The impact of health services on medical education : a global view; report of an International Macy Conference / Edited by John Z. Bowers and Elizabeth F. Purcell.</t>
        </is>
      </c>
      <c r="H974" t="inlineStr">
        <is>
          <t>No</t>
        </is>
      </c>
      <c r="I974" t="inlineStr">
        <is>
          <t>1</t>
        </is>
      </c>
      <c r="J974" t="inlineStr">
        <is>
          <t>No</t>
        </is>
      </c>
      <c r="K974" t="inlineStr">
        <is>
          <t>No</t>
        </is>
      </c>
      <c r="L974" t="inlineStr">
        <is>
          <t>0</t>
        </is>
      </c>
      <c r="M974" t="inlineStr">
        <is>
          <t>International Macy Conference on the Impact of Health Services on Medical Education (1977 : Paris, France)</t>
        </is>
      </c>
      <c r="N974" t="inlineStr">
        <is>
          <t>-- New York : Josiah Macy, Jr. Foundation, c1978.</t>
        </is>
      </c>
      <c r="O974" t="inlineStr">
        <is>
          <t>1978</t>
        </is>
      </c>
      <c r="Q974" t="inlineStr">
        <is>
          <t>eng</t>
        </is>
      </c>
      <c r="R974" t="inlineStr">
        <is>
          <t>nyu</t>
        </is>
      </c>
      <c r="T974" t="inlineStr">
        <is>
          <t xml:space="preserve">W  </t>
        </is>
      </c>
      <c r="U974" t="n">
        <v>2</v>
      </c>
      <c r="V974" t="n">
        <v>2</v>
      </c>
      <c r="W974" t="inlineStr">
        <is>
          <t>1992-11-10</t>
        </is>
      </c>
      <c r="X974" t="inlineStr">
        <is>
          <t>1992-11-10</t>
        </is>
      </c>
      <c r="Y974" t="inlineStr">
        <is>
          <t>1987-12-22</t>
        </is>
      </c>
      <c r="Z974" t="inlineStr">
        <is>
          <t>1987-12-22</t>
        </is>
      </c>
      <c r="AA974" t="n">
        <v>125</v>
      </c>
      <c r="AB974" t="n">
        <v>106</v>
      </c>
      <c r="AC974" t="n">
        <v>108</v>
      </c>
      <c r="AD974" t="n">
        <v>1</v>
      </c>
      <c r="AE974" t="n">
        <v>1</v>
      </c>
      <c r="AF974" t="n">
        <v>1</v>
      </c>
      <c r="AG974" t="n">
        <v>1</v>
      </c>
      <c r="AH974" t="n">
        <v>0</v>
      </c>
      <c r="AI974" t="n">
        <v>0</v>
      </c>
      <c r="AJ974" t="n">
        <v>0</v>
      </c>
      <c r="AK974" t="n">
        <v>0</v>
      </c>
      <c r="AL974" t="n">
        <v>1</v>
      </c>
      <c r="AM974" t="n">
        <v>1</v>
      </c>
      <c r="AN974" t="n">
        <v>0</v>
      </c>
      <c r="AO974" t="n">
        <v>0</v>
      </c>
      <c r="AP974" t="n">
        <v>0</v>
      </c>
      <c r="AQ974" t="n">
        <v>0</v>
      </c>
      <c r="AR974" t="inlineStr">
        <is>
          <t>No</t>
        </is>
      </c>
      <c r="AS974" t="inlineStr">
        <is>
          <t>Yes</t>
        </is>
      </c>
      <c r="AT974">
        <f>HYPERLINK("http://catalog.hathitrust.org/Record/002486343","HathiTrust Record")</f>
        <v/>
      </c>
      <c r="AU974">
        <f>HYPERLINK("https://creighton-primo.hosted.exlibrisgroup.com/primo-explore/search?tab=default_tab&amp;search_scope=EVERYTHING&amp;vid=01CRU&amp;lang=en_US&amp;offset=0&amp;query=any,contains,991000662999702656","Catalog Record")</f>
        <v/>
      </c>
      <c r="AV974">
        <f>HYPERLINK("http://www.worldcat.org/oclc/5263804","WorldCat Record")</f>
        <v/>
      </c>
      <c r="AW974" t="inlineStr">
        <is>
          <t>577236255:eng</t>
        </is>
      </c>
      <c r="AX974" t="inlineStr">
        <is>
          <t>5263804</t>
        </is>
      </c>
      <c r="AY974" t="inlineStr">
        <is>
          <t>991000662999702656</t>
        </is>
      </c>
      <c r="AZ974" t="inlineStr">
        <is>
          <t>991000662999702656</t>
        </is>
      </c>
      <c r="BA974" t="inlineStr">
        <is>
          <t>2260250930002656</t>
        </is>
      </c>
      <c r="BB974" t="inlineStr">
        <is>
          <t>BOOK</t>
        </is>
      </c>
      <c r="BE974" t="inlineStr">
        <is>
          <t>30001000688913</t>
        </is>
      </c>
      <c r="BF974" t="inlineStr">
        <is>
          <t>893362710</t>
        </is>
      </c>
    </row>
    <row r="975">
      <c r="A975" t="inlineStr">
        <is>
          <t>No</t>
        </is>
      </c>
      <c r="B975" t="inlineStr">
        <is>
          <t>CUHSL</t>
        </is>
      </c>
      <c r="C975" t="inlineStr">
        <is>
          <t>SHELVES</t>
        </is>
      </c>
      <c r="D975" t="inlineStr">
        <is>
          <t>W 225 L863 1993</t>
        </is>
      </c>
      <c r="E975" t="inlineStr">
        <is>
          <t>0                      W  0225000L  863         1993</t>
        </is>
      </c>
      <c r="F975" t="inlineStr">
        <is>
          <t>Looking north for health : what we can learn from Canada's health care system / edited by Arnold Bennett, Orvill Adams ; foreword by John D. Rockefeller IV.</t>
        </is>
      </c>
      <c r="H975" t="inlineStr">
        <is>
          <t>No</t>
        </is>
      </c>
      <c r="I975" t="inlineStr">
        <is>
          <t>1</t>
        </is>
      </c>
      <c r="J975" t="inlineStr">
        <is>
          <t>No</t>
        </is>
      </c>
      <c r="K975" t="inlineStr">
        <is>
          <t>No</t>
        </is>
      </c>
      <c r="L975" t="inlineStr">
        <is>
          <t>0</t>
        </is>
      </c>
      <c r="N975" t="inlineStr">
        <is>
          <t>San Francisco : Jossey-Bass, c1993.</t>
        </is>
      </c>
      <c r="O975" t="inlineStr">
        <is>
          <t>1993</t>
        </is>
      </c>
      <c r="P975" t="inlineStr">
        <is>
          <t>1st ed.</t>
        </is>
      </c>
      <c r="Q975" t="inlineStr">
        <is>
          <t>eng</t>
        </is>
      </c>
      <c r="R975" t="inlineStr">
        <is>
          <t>cau</t>
        </is>
      </c>
      <c r="S975" t="inlineStr">
        <is>
          <t>The Jossey-Bass higher and adult education series.</t>
        </is>
      </c>
      <c r="T975" t="inlineStr">
        <is>
          <t xml:space="preserve">W  </t>
        </is>
      </c>
      <c r="U975" t="n">
        <v>16</v>
      </c>
      <c r="V975" t="n">
        <v>16</v>
      </c>
      <c r="W975" t="inlineStr">
        <is>
          <t>2002-03-29</t>
        </is>
      </c>
      <c r="X975" t="inlineStr">
        <is>
          <t>2002-03-29</t>
        </is>
      </c>
      <c r="Y975" t="inlineStr">
        <is>
          <t>1993-03-11</t>
        </is>
      </c>
      <c r="Z975" t="inlineStr">
        <is>
          <t>1993-03-11</t>
        </is>
      </c>
      <c r="AA975" t="n">
        <v>715</v>
      </c>
      <c r="AB975" t="n">
        <v>644</v>
      </c>
      <c r="AC975" t="n">
        <v>650</v>
      </c>
      <c r="AD975" t="n">
        <v>2</v>
      </c>
      <c r="AE975" t="n">
        <v>2</v>
      </c>
      <c r="AF975" t="n">
        <v>21</v>
      </c>
      <c r="AG975" t="n">
        <v>21</v>
      </c>
      <c r="AH975" t="n">
        <v>6</v>
      </c>
      <c r="AI975" t="n">
        <v>6</v>
      </c>
      <c r="AJ975" t="n">
        <v>7</v>
      </c>
      <c r="AK975" t="n">
        <v>7</v>
      </c>
      <c r="AL975" t="n">
        <v>11</v>
      </c>
      <c r="AM975" t="n">
        <v>11</v>
      </c>
      <c r="AN975" t="n">
        <v>1</v>
      </c>
      <c r="AO975" t="n">
        <v>1</v>
      </c>
      <c r="AP975" t="n">
        <v>2</v>
      </c>
      <c r="AQ975" t="n">
        <v>2</v>
      </c>
      <c r="AR975" t="inlineStr">
        <is>
          <t>No</t>
        </is>
      </c>
      <c r="AS975" t="inlineStr">
        <is>
          <t>Yes</t>
        </is>
      </c>
      <c r="AT975">
        <f>HYPERLINK("http://catalog.hathitrust.org/Record/002615791","HathiTrust Record")</f>
        <v/>
      </c>
      <c r="AU975">
        <f>HYPERLINK("https://creighton-primo.hosted.exlibrisgroup.com/primo-explore/search?tab=default_tab&amp;search_scope=EVERYTHING&amp;vid=01CRU&amp;lang=en_US&amp;offset=0&amp;query=any,contains,991001432489702656","Catalog Record")</f>
        <v/>
      </c>
      <c r="AV975">
        <f>HYPERLINK("http://www.worldcat.org/oclc/27012992","WorldCat Record")</f>
        <v/>
      </c>
      <c r="AW975" t="inlineStr">
        <is>
          <t>909770118:eng</t>
        </is>
      </c>
      <c r="AX975" t="inlineStr">
        <is>
          <t>27012992</t>
        </is>
      </c>
      <c r="AY975" t="inlineStr">
        <is>
          <t>991001432489702656</t>
        </is>
      </c>
      <c r="AZ975" t="inlineStr">
        <is>
          <t>991001432489702656</t>
        </is>
      </c>
      <c r="BA975" t="inlineStr">
        <is>
          <t>2259317320002656</t>
        </is>
      </c>
      <c r="BB975" t="inlineStr">
        <is>
          <t>BOOK</t>
        </is>
      </c>
      <c r="BD975" t="inlineStr">
        <is>
          <t>9781555425166</t>
        </is>
      </c>
      <c r="BE975" t="inlineStr">
        <is>
          <t>30001002529974</t>
        </is>
      </c>
      <c r="BF975" t="inlineStr">
        <is>
          <t>893364098</t>
        </is>
      </c>
    </row>
    <row r="976">
      <c r="A976" t="inlineStr">
        <is>
          <t>No</t>
        </is>
      </c>
      <c r="B976" t="inlineStr">
        <is>
          <t>CUHSL</t>
        </is>
      </c>
      <c r="C976" t="inlineStr">
        <is>
          <t>SHELVES</t>
        </is>
      </c>
      <c r="D976" t="inlineStr">
        <is>
          <t>W 225 T244h 1987</t>
        </is>
      </c>
      <c r="E976" t="inlineStr">
        <is>
          <t>0                      W  0225000T  244h        1987</t>
        </is>
      </c>
      <c r="F976" t="inlineStr">
        <is>
          <t>Health insurance and Canadian public policy : the seven decisions that created the Canadian health insurance system and their outcomes / Malcolm G. Taylor.</t>
        </is>
      </c>
      <c r="H976" t="inlineStr">
        <is>
          <t>No</t>
        </is>
      </c>
      <c r="I976" t="inlineStr">
        <is>
          <t>1</t>
        </is>
      </c>
      <c r="J976" t="inlineStr">
        <is>
          <t>No</t>
        </is>
      </c>
      <c r="K976" t="inlineStr">
        <is>
          <t>No</t>
        </is>
      </c>
      <c r="L976" t="inlineStr">
        <is>
          <t>0</t>
        </is>
      </c>
      <c r="M976" t="inlineStr">
        <is>
          <t>Taylor, Malcolm G. (Malcolm Gordon)</t>
        </is>
      </c>
      <c r="N976" t="inlineStr">
        <is>
          <t>Toronto : Institute of Public Administration of Canada = Institut d'administration publique du Canada, c1987.</t>
        </is>
      </c>
      <c r="O976" t="inlineStr">
        <is>
          <t>1987</t>
        </is>
      </c>
      <c r="P976" t="inlineStr">
        <is>
          <t>2nd ed.</t>
        </is>
      </c>
      <c r="Q976" t="inlineStr">
        <is>
          <t>eng</t>
        </is>
      </c>
      <c r="R976" t="inlineStr">
        <is>
          <t>onc</t>
        </is>
      </c>
      <c r="S976" t="inlineStr">
        <is>
          <t>Canadian public administration series = Collection Administration publique canadienne</t>
        </is>
      </c>
      <c r="T976" t="inlineStr">
        <is>
          <t xml:space="preserve">W  </t>
        </is>
      </c>
      <c r="U976" t="n">
        <v>11</v>
      </c>
      <c r="V976" t="n">
        <v>11</v>
      </c>
      <c r="W976" t="inlineStr">
        <is>
          <t>2002-07-24</t>
        </is>
      </c>
      <c r="X976" t="inlineStr">
        <is>
          <t>2002-07-24</t>
        </is>
      </c>
      <c r="Y976" t="inlineStr">
        <is>
          <t>1989-07-28</t>
        </is>
      </c>
      <c r="Z976" t="inlineStr">
        <is>
          <t>1989-07-28</t>
        </is>
      </c>
      <c r="AA976" t="n">
        <v>159</v>
      </c>
      <c r="AB976" t="n">
        <v>93</v>
      </c>
      <c r="AC976" t="n">
        <v>1003</v>
      </c>
      <c r="AD976" t="n">
        <v>1</v>
      </c>
      <c r="AE976" t="n">
        <v>14</v>
      </c>
      <c r="AF976" t="n">
        <v>3</v>
      </c>
      <c r="AG976" t="n">
        <v>41</v>
      </c>
      <c r="AH976" t="n">
        <v>1</v>
      </c>
      <c r="AI976" t="n">
        <v>12</v>
      </c>
      <c r="AJ976" t="n">
        <v>2</v>
      </c>
      <c r="AK976" t="n">
        <v>9</v>
      </c>
      <c r="AL976" t="n">
        <v>1</v>
      </c>
      <c r="AM976" t="n">
        <v>13</v>
      </c>
      <c r="AN976" t="n">
        <v>0</v>
      </c>
      <c r="AO976" t="n">
        <v>12</v>
      </c>
      <c r="AP976" t="n">
        <v>0</v>
      </c>
      <c r="AQ976" t="n">
        <v>2</v>
      </c>
      <c r="AR976" t="inlineStr">
        <is>
          <t>No</t>
        </is>
      </c>
      <c r="AS976" t="inlineStr">
        <is>
          <t>No</t>
        </is>
      </c>
      <c r="AU976">
        <f>HYPERLINK("https://creighton-primo.hosted.exlibrisgroup.com/primo-explore/search?tab=default_tab&amp;search_scope=EVERYTHING&amp;vid=01CRU&amp;lang=en_US&amp;offset=0&amp;query=any,contains,991001254909702656","Catalog Record")</f>
        <v/>
      </c>
      <c r="AV976">
        <f>HYPERLINK("http://www.worldcat.org/oclc/21332459","WorldCat Record")</f>
        <v/>
      </c>
      <c r="AW976" t="inlineStr">
        <is>
          <t>9621704315:eng</t>
        </is>
      </c>
      <c r="AX976" t="inlineStr">
        <is>
          <t>21332459</t>
        </is>
      </c>
      <c r="AY976" t="inlineStr">
        <is>
          <t>991001254909702656</t>
        </is>
      </c>
      <c r="AZ976" t="inlineStr">
        <is>
          <t>991001254909702656</t>
        </is>
      </c>
      <c r="BA976" t="inlineStr">
        <is>
          <t>2262379590002656</t>
        </is>
      </c>
      <c r="BB976" t="inlineStr">
        <is>
          <t>BOOK</t>
        </is>
      </c>
      <c r="BD976" t="inlineStr">
        <is>
          <t>9780773506282</t>
        </is>
      </c>
      <c r="BE976" t="inlineStr">
        <is>
          <t>30001001679986</t>
        </is>
      </c>
      <c r="BF976" t="inlineStr">
        <is>
          <t>893557724</t>
        </is>
      </c>
    </row>
    <row r="977">
      <c r="A977" t="inlineStr">
        <is>
          <t>No</t>
        </is>
      </c>
      <c r="B977" t="inlineStr">
        <is>
          <t>CUHSL</t>
        </is>
      </c>
      <c r="C977" t="inlineStr">
        <is>
          <t>SHELVES</t>
        </is>
      </c>
      <c r="D977" t="inlineStr">
        <is>
          <t>W 250 AA1 C758 2000</t>
        </is>
      </c>
      <c r="E977" t="inlineStr">
        <is>
          <t>0                      W  0250000AA 1                  C  758         2000</t>
        </is>
      </c>
      <c r="F977" t="inlineStr">
        <is>
          <t>Constructing the middle ground : cultural competence in Medicaid managed care : a research study conducted by the Cross Cultural Health Care Program, Seattle, Washington / written by Thomas D. Lonner, principal investigator.</t>
        </is>
      </c>
      <c r="H977" t="inlineStr">
        <is>
          <t>No</t>
        </is>
      </c>
      <c r="I977" t="inlineStr">
        <is>
          <t>1</t>
        </is>
      </c>
      <c r="J977" t="inlineStr">
        <is>
          <t>No</t>
        </is>
      </c>
      <c r="K977" t="inlineStr">
        <is>
          <t>No</t>
        </is>
      </c>
      <c r="L977" t="inlineStr">
        <is>
          <t>0</t>
        </is>
      </c>
      <c r="N977" t="inlineStr">
        <is>
          <t>Seattle, WA : Cross Cultural Health Care Program, [2000]</t>
        </is>
      </c>
      <c r="O977" t="inlineStr">
        <is>
          <t>2000</t>
        </is>
      </c>
      <c r="Q977" t="inlineStr">
        <is>
          <t>eng</t>
        </is>
      </c>
      <c r="R977" t="inlineStr">
        <is>
          <t>wau</t>
        </is>
      </c>
      <c r="T977" t="inlineStr">
        <is>
          <t xml:space="preserve">W  </t>
        </is>
      </c>
      <c r="U977" t="n">
        <v>0</v>
      </c>
      <c r="V977" t="n">
        <v>0</v>
      </c>
      <c r="W977" t="inlineStr">
        <is>
          <t>2004-09-30</t>
        </is>
      </c>
      <c r="X977" t="inlineStr">
        <is>
          <t>2004-09-30</t>
        </is>
      </c>
      <c r="Y977" t="inlineStr">
        <is>
          <t>2004-09-29</t>
        </is>
      </c>
      <c r="Z977" t="inlineStr">
        <is>
          <t>2004-09-29</t>
        </is>
      </c>
      <c r="AA977" t="n">
        <v>6</v>
      </c>
      <c r="AB977" t="n">
        <v>5</v>
      </c>
      <c r="AC977" t="n">
        <v>8</v>
      </c>
      <c r="AD977" t="n">
        <v>1</v>
      </c>
      <c r="AE977" t="n">
        <v>1</v>
      </c>
      <c r="AF977" t="n">
        <v>0</v>
      </c>
      <c r="AG977" t="n">
        <v>0</v>
      </c>
      <c r="AH977" t="n">
        <v>0</v>
      </c>
      <c r="AI977" t="n">
        <v>0</v>
      </c>
      <c r="AJ977" t="n">
        <v>0</v>
      </c>
      <c r="AK977" t="n">
        <v>0</v>
      </c>
      <c r="AL977" t="n">
        <v>0</v>
      </c>
      <c r="AM977" t="n">
        <v>0</v>
      </c>
      <c r="AN977" t="n">
        <v>0</v>
      </c>
      <c r="AO977" t="n">
        <v>0</v>
      </c>
      <c r="AP977" t="n">
        <v>0</v>
      </c>
      <c r="AQ977" t="n">
        <v>0</v>
      </c>
      <c r="AR977" t="inlineStr">
        <is>
          <t>No</t>
        </is>
      </c>
      <c r="AS977" t="inlineStr">
        <is>
          <t>Yes</t>
        </is>
      </c>
      <c r="AT977">
        <f>HYPERLINK("http://catalog.hathitrust.org/Record/010379671","HathiTrust Record")</f>
        <v/>
      </c>
      <c r="AU977">
        <f>HYPERLINK("https://creighton-primo.hosted.exlibrisgroup.com/primo-explore/search?tab=default_tab&amp;search_scope=EVERYTHING&amp;vid=01CRU&amp;lang=en_US&amp;offset=0&amp;query=any,contains,991000399129702656","Catalog Record")</f>
        <v/>
      </c>
      <c r="AV977">
        <f>HYPERLINK("http://www.worldcat.org/oclc/47068072","WorldCat Record")</f>
        <v/>
      </c>
      <c r="AW977" t="inlineStr">
        <is>
          <t>958254071:eng</t>
        </is>
      </c>
      <c r="AX977" t="inlineStr">
        <is>
          <t>47068072</t>
        </is>
      </c>
      <c r="AY977" t="inlineStr">
        <is>
          <t>991000399129702656</t>
        </is>
      </c>
      <c r="AZ977" t="inlineStr">
        <is>
          <t>991000399129702656</t>
        </is>
      </c>
      <c r="BA977" t="inlineStr">
        <is>
          <t>2270425470002656</t>
        </is>
      </c>
      <c r="BB977" t="inlineStr">
        <is>
          <t>BOOK</t>
        </is>
      </c>
      <c r="BE977" t="inlineStr">
        <is>
          <t>30001004923548</t>
        </is>
      </c>
      <c r="BF977" t="inlineStr">
        <is>
          <t>893275035</t>
        </is>
      </c>
    </row>
    <row r="978">
      <c r="A978" t="inlineStr">
        <is>
          <t>No</t>
        </is>
      </c>
      <c r="B978" t="inlineStr">
        <is>
          <t>CUHSL</t>
        </is>
      </c>
      <c r="C978" t="inlineStr">
        <is>
          <t>SHELVES</t>
        </is>
      </c>
      <c r="D978" t="inlineStr">
        <is>
          <t>W 250 AA1 H4 1997</t>
        </is>
      </c>
      <c r="E978" t="inlineStr">
        <is>
          <t>0                      W  0250000AA 1                  H  4           1997</t>
        </is>
      </c>
      <c r="F978" t="inlineStr">
        <is>
          <t>Health and poverty / Michael J. Holosko, Marvin D. Feit, editors.</t>
        </is>
      </c>
      <c r="H978" t="inlineStr">
        <is>
          <t>No</t>
        </is>
      </c>
      <c r="I978" t="inlineStr">
        <is>
          <t>1</t>
        </is>
      </c>
      <c r="J978" t="inlineStr">
        <is>
          <t>No</t>
        </is>
      </c>
      <c r="K978" t="inlineStr">
        <is>
          <t>No</t>
        </is>
      </c>
      <c r="L978" t="inlineStr">
        <is>
          <t>0</t>
        </is>
      </c>
      <c r="N978" t="inlineStr">
        <is>
          <t>New York : Haworth Press, c1997.</t>
        </is>
      </c>
      <c r="O978" t="inlineStr">
        <is>
          <t>1997</t>
        </is>
      </c>
      <c r="Q978" t="inlineStr">
        <is>
          <t>eng</t>
        </is>
      </c>
      <c r="R978" t="inlineStr">
        <is>
          <t>nyu</t>
        </is>
      </c>
      <c r="S978" t="inlineStr">
        <is>
          <t>Haworth health and social policy</t>
        </is>
      </c>
      <c r="T978" t="inlineStr">
        <is>
          <t xml:space="preserve">W  </t>
        </is>
      </c>
      <c r="U978" t="n">
        <v>7</v>
      </c>
      <c r="V978" t="n">
        <v>7</v>
      </c>
      <c r="W978" t="inlineStr">
        <is>
          <t>2004-06-22</t>
        </is>
      </c>
      <c r="X978" t="inlineStr">
        <is>
          <t>2004-06-22</t>
        </is>
      </c>
      <c r="Y978" t="inlineStr">
        <is>
          <t>2003-10-17</t>
        </is>
      </c>
      <c r="Z978" t="inlineStr">
        <is>
          <t>2003-10-17</t>
        </is>
      </c>
      <c r="AA978" t="n">
        <v>408</v>
      </c>
      <c r="AB978" t="n">
        <v>358</v>
      </c>
      <c r="AC978" t="n">
        <v>358</v>
      </c>
      <c r="AD978" t="n">
        <v>2</v>
      </c>
      <c r="AE978" t="n">
        <v>2</v>
      </c>
      <c r="AF978" t="n">
        <v>17</v>
      </c>
      <c r="AG978" t="n">
        <v>17</v>
      </c>
      <c r="AH978" t="n">
        <v>5</v>
      </c>
      <c r="AI978" t="n">
        <v>5</v>
      </c>
      <c r="AJ978" t="n">
        <v>4</v>
      </c>
      <c r="AK978" t="n">
        <v>4</v>
      </c>
      <c r="AL978" t="n">
        <v>11</v>
      </c>
      <c r="AM978" t="n">
        <v>11</v>
      </c>
      <c r="AN978" t="n">
        <v>1</v>
      </c>
      <c r="AO978" t="n">
        <v>1</v>
      </c>
      <c r="AP978" t="n">
        <v>0</v>
      </c>
      <c r="AQ978" t="n">
        <v>0</v>
      </c>
      <c r="AR978" t="inlineStr">
        <is>
          <t>No</t>
        </is>
      </c>
      <c r="AS978" t="inlineStr">
        <is>
          <t>No</t>
        </is>
      </c>
      <c r="AU978">
        <f>HYPERLINK("https://creighton-primo.hosted.exlibrisgroup.com/primo-explore/search?tab=default_tab&amp;search_scope=EVERYTHING&amp;vid=01CRU&amp;lang=en_US&amp;offset=0&amp;query=any,contains,991000358519702656","Catalog Record")</f>
        <v/>
      </c>
      <c r="AV978">
        <f>HYPERLINK("http://www.worldcat.org/oclc/36501360","WorldCat Record")</f>
        <v/>
      </c>
      <c r="AW978" t="inlineStr">
        <is>
          <t>352017749:eng</t>
        </is>
      </c>
      <c r="AX978" t="inlineStr">
        <is>
          <t>36501360</t>
        </is>
      </c>
      <c r="AY978" t="inlineStr">
        <is>
          <t>991000358519702656</t>
        </is>
      </c>
      <c r="AZ978" t="inlineStr">
        <is>
          <t>991000358519702656</t>
        </is>
      </c>
      <c r="BA978" t="inlineStr">
        <is>
          <t>2267909660002656</t>
        </is>
      </c>
      <c r="BB978" t="inlineStr">
        <is>
          <t>BOOK</t>
        </is>
      </c>
      <c r="BD978" t="inlineStr">
        <is>
          <t>9780789001498</t>
        </is>
      </c>
      <c r="BE978" t="inlineStr">
        <is>
          <t>30001004218014</t>
        </is>
      </c>
      <c r="BF978" t="inlineStr">
        <is>
          <t>893123014</t>
        </is>
      </c>
    </row>
    <row r="979">
      <c r="A979" t="inlineStr">
        <is>
          <t>No</t>
        </is>
      </c>
      <c r="B979" t="inlineStr">
        <is>
          <t>CUHSL</t>
        </is>
      </c>
      <c r="C979" t="inlineStr">
        <is>
          <t>SHELVES</t>
        </is>
      </c>
      <c r="D979" t="inlineStr">
        <is>
          <t>W250 AA1 S645e 2002</t>
        </is>
      </c>
      <c r="E979" t="inlineStr">
        <is>
          <t>0                      W  0250000AA 1                  S  645e        2002</t>
        </is>
      </c>
      <c r="F979" t="inlineStr">
        <is>
          <t>Entitlement politics : medicare and medicaid, 1995-2001 / David G. Smith.</t>
        </is>
      </c>
      <c r="H979" t="inlineStr">
        <is>
          <t>No</t>
        </is>
      </c>
      <c r="I979" t="inlineStr">
        <is>
          <t>1</t>
        </is>
      </c>
      <c r="J979" t="inlineStr">
        <is>
          <t>No</t>
        </is>
      </c>
      <c r="K979" t="inlineStr">
        <is>
          <t>No</t>
        </is>
      </c>
      <c r="L979" t="inlineStr">
        <is>
          <t>0</t>
        </is>
      </c>
      <c r="M979" t="inlineStr">
        <is>
          <t>Smith, David G., 1926-</t>
        </is>
      </c>
      <c r="N979" t="inlineStr">
        <is>
          <t>New York : Aldine de Gruyter, c2002.</t>
        </is>
      </c>
      <c r="O979" t="inlineStr">
        <is>
          <t>2002</t>
        </is>
      </c>
      <c r="Q979" t="inlineStr">
        <is>
          <t>eng</t>
        </is>
      </c>
      <c r="R979" t="inlineStr">
        <is>
          <t>nyu</t>
        </is>
      </c>
      <c r="S979" t="inlineStr">
        <is>
          <t>Social institutions and social change</t>
        </is>
      </c>
      <c r="T979" t="inlineStr">
        <is>
          <t xml:space="preserve">W  </t>
        </is>
      </c>
      <c r="U979" t="n">
        <v>5</v>
      </c>
      <c r="V979" t="n">
        <v>5</v>
      </c>
      <c r="W979" t="inlineStr">
        <is>
          <t>2004-11-15</t>
        </is>
      </c>
      <c r="X979" t="inlineStr">
        <is>
          <t>2004-11-15</t>
        </is>
      </c>
      <c r="Y979" t="inlineStr">
        <is>
          <t>2003-02-17</t>
        </is>
      </c>
      <c r="Z979" t="inlineStr">
        <is>
          <t>2003-02-17</t>
        </is>
      </c>
      <c r="AA979" t="n">
        <v>346</v>
      </c>
      <c r="AB979" t="n">
        <v>319</v>
      </c>
      <c r="AC979" t="n">
        <v>693</v>
      </c>
      <c r="AD979" t="n">
        <v>3</v>
      </c>
      <c r="AE979" t="n">
        <v>3</v>
      </c>
      <c r="AF979" t="n">
        <v>20</v>
      </c>
      <c r="AG979" t="n">
        <v>21</v>
      </c>
      <c r="AH979" t="n">
        <v>9</v>
      </c>
      <c r="AI979" t="n">
        <v>10</v>
      </c>
      <c r="AJ979" t="n">
        <v>6</v>
      </c>
      <c r="AK979" t="n">
        <v>6</v>
      </c>
      <c r="AL979" t="n">
        <v>8</v>
      </c>
      <c r="AM979" t="n">
        <v>8</v>
      </c>
      <c r="AN979" t="n">
        <v>2</v>
      </c>
      <c r="AO979" t="n">
        <v>2</v>
      </c>
      <c r="AP979" t="n">
        <v>1</v>
      </c>
      <c r="AQ979" t="n">
        <v>1</v>
      </c>
      <c r="AR979" t="inlineStr">
        <is>
          <t>No</t>
        </is>
      </c>
      <c r="AS979" t="inlineStr">
        <is>
          <t>No</t>
        </is>
      </c>
      <c r="AU979">
        <f>HYPERLINK("https://creighton-primo.hosted.exlibrisgroup.com/primo-explore/search?tab=default_tab&amp;search_scope=EVERYTHING&amp;vid=01CRU&amp;lang=en_US&amp;offset=0&amp;query=any,contains,991000339289702656","Catalog Record")</f>
        <v/>
      </c>
      <c r="AV979">
        <f>HYPERLINK("http://www.worldcat.org/oclc/48876524","WorldCat Record")</f>
        <v/>
      </c>
      <c r="AW979" t="inlineStr">
        <is>
          <t>795400593:eng</t>
        </is>
      </c>
      <c r="AX979" t="inlineStr">
        <is>
          <t>48876524</t>
        </is>
      </c>
      <c r="AY979" t="inlineStr">
        <is>
          <t>991000339289702656</t>
        </is>
      </c>
      <c r="AZ979" t="inlineStr">
        <is>
          <t>991000339289702656</t>
        </is>
      </c>
      <c r="BA979" t="inlineStr">
        <is>
          <t>2262119710002656</t>
        </is>
      </c>
      <c r="BB979" t="inlineStr">
        <is>
          <t>BOOK</t>
        </is>
      </c>
      <c r="BD979" t="inlineStr">
        <is>
          <t>9780202307183</t>
        </is>
      </c>
      <c r="BE979" t="inlineStr">
        <is>
          <t>30001004502078</t>
        </is>
      </c>
      <c r="BF979" t="inlineStr">
        <is>
          <t>893649793</t>
        </is>
      </c>
    </row>
    <row r="980">
      <c r="A980" t="inlineStr">
        <is>
          <t>No</t>
        </is>
      </c>
      <c r="B980" t="inlineStr">
        <is>
          <t>CUHSL</t>
        </is>
      </c>
      <c r="C980" t="inlineStr">
        <is>
          <t>SHELVES</t>
        </is>
      </c>
      <c r="D980" t="inlineStr">
        <is>
          <t>W 250 M489 1993</t>
        </is>
      </c>
      <c r="E980" t="inlineStr">
        <is>
          <t>0                      W  0250000M  489         1993</t>
        </is>
      </c>
      <c r="F980" t="inlineStr">
        <is>
          <t>Medical schools and poor patients : report on the Conference Medical Education and Health Services to the Poor and Medically Underinsured / organized by G. Robert Mason and Sherman M. Mellinkoff.</t>
        </is>
      </c>
      <c r="H980" t="inlineStr">
        <is>
          <t>No</t>
        </is>
      </c>
      <c r="I980" t="inlineStr">
        <is>
          <t>1</t>
        </is>
      </c>
      <c r="J980" t="inlineStr">
        <is>
          <t>No</t>
        </is>
      </c>
      <c r="K980" t="inlineStr">
        <is>
          <t>No</t>
        </is>
      </c>
      <c r="L980" t="inlineStr">
        <is>
          <t>0</t>
        </is>
      </c>
      <c r="M980" t="inlineStr">
        <is>
          <t>Conference: Medical Education and Health Services to the Poor and Medically Underinsured (1992 : Los Angeles, Calif.)</t>
        </is>
      </c>
      <c r="N980" t="inlineStr">
        <is>
          <t>Irvine, Calif. : American Academy of Arts and Sciences, c1993.</t>
        </is>
      </c>
      <c r="O980" t="inlineStr">
        <is>
          <t>1993</t>
        </is>
      </c>
      <c r="Q980" t="inlineStr">
        <is>
          <t>eng</t>
        </is>
      </c>
      <c r="R980" t="inlineStr">
        <is>
          <t>cau</t>
        </is>
      </c>
      <c r="T980" t="inlineStr">
        <is>
          <t xml:space="preserve">W  </t>
        </is>
      </c>
      <c r="U980" t="n">
        <v>5</v>
      </c>
      <c r="V980" t="n">
        <v>5</v>
      </c>
      <c r="W980" t="inlineStr">
        <is>
          <t>1996-10-19</t>
        </is>
      </c>
      <c r="X980" t="inlineStr">
        <is>
          <t>1996-10-19</t>
        </is>
      </c>
      <c r="Y980" t="inlineStr">
        <is>
          <t>1993-12-03</t>
        </is>
      </c>
      <c r="Z980" t="inlineStr">
        <is>
          <t>1993-12-03</t>
        </is>
      </c>
      <c r="AA980" t="n">
        <v>64</v>
      </c>
      <c r="AB980" t="n">
        <v>64</v>
      </c>
      <c r="AC980" t="n">
        <v>66</v>
      </c>
      <c r="AD980" t="n">
        <v>1</v>
      </c>
      <c r="AE980" t="n">
        <v>1</v>
      </c>
      <c r="AF980" t="n">
        <v>1</v>
      </c>
      <c r="AG980" t="n">
        <v>1</v>
      </c>
      <c r="AH980" t="n">
        <v>0</v>
      </c>
      <c r="AI980" t="n">
        <v>0</v>
      </c>
      <c r="AJ980" t="n">
        <v>0</v>
      </c>
      <c r="AK980" t="n">
        <v>0</v>
      </c>
      <c r="AL980" t="n">
        <v>1</v>
      </c>
      <c r="AM980" t="n">
        <v>1</v>
      </c>
      <c r="AN980" t="n">
        <v>0</v>
      </c>
      <c r="AO980" t="n">
        <v>0</v>
      </c>
      <c r="AP980" t="n">
        <v>0</v>
      </c>
      <c r="AQ980" t="n">
        <v>0</v>
      </c>
      <c r="AR980" t="inlineStr">
        <is>
          <t>No</t>
        </is>
      </c>
      <c r="AS980" t="inlineStr">
        <is>
          <t>Yes</t>
        </is>
      </c>
      <c r="AT980">
        <f>HYPERLINK("http://catalog.hathitrust.org/Record/002808530","HathiTrust Record")</f>
        <v/>
      </c>
      <c r="AU980">
        <f>HYPERLINK("https://creighton-primo.hosted.exlibrisgroup.com/primo-explore/search?tab=default_tab&amp;search_scope=EVERYTHING&amp;vid=01CRU&amp;lang=en_US&amp;offset=0&amp;query=any,contains,991000549179702656","Catalog Record")</f>
        <v/>
      </c>
      <c r="AV980">
        <f>HYPERLINK("http://www.worldcat.org/oclc/29436366","WorldCat Record")</f>
        <v/>
      </c>
      <c r="AW980" t="inlineStr">
        <is>
          <t>31694644:eng</t>
        </is>
      </c>
      <c r="AX980" t="inlineStr">
        <is>
          <t>29436366</t>
        </is>
      </c>
      <c r="AY980" t="inlineStr">
        <is>
          <t>991000549179702656</t>
        </is>
      </c>
      <c r="AZ980" t="inlineStr">
        <is>
          <t>991000549179702656</t>
        </is>
      </c>
      <c r="BA980" t="inlineStr">
        <is>
          <t>2254738610002656</t>
        </is>
      </c>
      <c r="BB980" t="inlineStr">
        <is>
          <t>BOOK</t>
        </is>
      </c>
      <c r="BE980" t="inlineStr">
        <is>
          <t>30001002670828</t>
        </is>
      </c>
      <c r="BF980" t="inlineStr">
        <is>
          <t>893539007</t>
        </is>
      </c>
    </row>
    <row r="981">
      <c r="A981" t="inlineStr">
        <is>
          <t>No</t>
        </is>
      </c>
      <c r="B981" t="inlineStr">
        <is>
          <t>CUHSL</t>
        </is>
      </c>
      <c r="C981" t="inlineStr">
        <is>
          <t>SHELVES</t>
        </is>
      </c>
      <c r="D981" t="inlineStr">
        <is>
          <t>W250.1 P879 2001</t>
        </is>
      </c>
      <c r="E981" t="inlineStr">
        <is>
          <t>0                      W  0250100P  879         2001</t>
        </is>
      </c>
      <c r="F981" t="inlineStr">
        <is>
          <t>Poverty, inequality, and health : an international perspective / edited by David A. Leon and Gill Walt.</t>
        </is>
      </c>
      <c r="H981" t="inlineStr">
        <is>
          <t>No</t>
        </is>
      </c>
      <c r="I981" t="inlineStr">
        <is>
          <t>1</t>
        </is>
      </c>
      <c r="J981" t="inlineStr">
        <is>
          <t>No</t>
        </is>
      </c>
      <c r="K981" t="inlineStr">
        <is>
          <t>No</t>
        </is>
      </c>
      <c r="L981" t="inlineStr">
        <is>
          <t>0</t>
        </is>
      </c>
      <c r="N981" t="inlineStr">
        <is>
          <t>Oxford ; New York : Oxford University Press, 2001.</t>
        </is>
      </c>
      <c r="O981" t="inlineStr">
        <is>
          <t>2001</t>
        </is>
      </c>
      <c r="Q981" t="inlineStr">
        <is>
          <t>eng</t>
        </is>
      </c>
      <c r="R981" t="inlineStr">
        <is>
          <t>enk</t>
        </is>
      </c>
      <c r="S981" t="inlineStr">
        <is>
          <t>Oxford medical publications</t>
        </is>
      </c>
      <c r="T981" t="inlineStr">
        <is>
          <t xml:space="preserve">W  </t>
        </is>
      </c>
      <c r="U981" t="n">
        <v>10</v>
      </c>
      <c r="V981" t="n">
        <v>10</v>
      </c>
      <c r="W981" t="inlineStr">
        <is>
          <t>2008-12-02</t>
        </is>
      </c>
      <c r="X981" t="inlineStr">
        <is>
          <t>2008-12-02</t>
        </is>
      </c>
      <c r="Y981" t="inlineStr">
        <is>
          <t>2002-06-28</t>
        </is>
      </c>
      <c r="Z981" t="inlineStr">
        <is>
          <t>2002-06-28</t>
        </is>
      </c>
      <c r="AA981" t="n">
        <v>408</v>
      </c>
      <c r="AB981" t="n">
        <v>255</v>
      </c>
      <c r="AC981" t="n">
        <v>302</v>
      </c>
      <c r="AD981" t="n">
        <v>1</v>
      </c>
      <c r="AE981" t="n">
        <v>1</v>
      </c>
      <c r="AF981" t="n">
        <v>14</v>
      </c>
      <c r="AG981" t="n">
        <v>16</v>
      </c>
      <c r="AH981" t="n">
        <v>4</v>
      </c>
      <c r="AI981" t="n">
        <v>4</v>
      </c>
      <c r="AJ981" t="n">
        <v>3</v>
      </c>
      <c r="AK981" t="n">
        <v>5</v>
      </c>
      <c r="AL981" t="n">
        <v>8</v>
      </c>
      <c r="AM981" t="n">
        <v>9</v>
      </c>
      <c r="AN981" t="n">
        <v>0</v>
      </c>
      <c r="AO981" t="n">
        <v>0</v>
      </c>
      <c r="AP981" t="n">
        <v>1</v>
      </c>
      <c r="AQ981" t="n">
        <v>1</v>
      </c>
      <c r="AR981" t="inlineStr">
        <is>
          <t>No</t>
        </is>
      </c>
      <c r="AS981" t="inlineStr">
        <is>
          <t>No</t>
        </is>
      </c>
      <c r="AU981">
        <f>HYPERLINK("https://creighton-primo.hosted.exlibrisgroup.com/primo-explore/search?tab=default_tab&amp;search_scope=EVERYTHING&amp;vid=01CRU&amp;lang=en_US&amp;offset=0&amp;query=any,contains,991000320249702656","Catalog Record")</f>
        <v/>
      </c>
      <c r="AV981">
        <f>HYPERLINK("http://www.worldcat.org/oclc/44627046","WorldCat Record")</f>
        <v/>
      </c>
      <c r="AW981" t="inlineStr">
        <is>
          <t>837045053:eng</t>
        </is>
      </c>
      <c r="AX981" t="inlineStr">
        <is>
          <t>44627046</t>
        </is>
      </c>
      <c r="AY981" t="inlineStr">
        <is>
          <t>991000320249702656</t>
        </is>
      </c>
      <c r="AZ981" t="inlineStr">
        <is>
          <t>991000320249702656</t>
        </is>
      </c>
      <c r="BA981" t="inlineStr">
        <is>
          <t>2260069640002656</t>
        </is>
      </c>
      <c r="BB981" t="inlineStr">
        <is>
          <t>BOOK</t>
        </is>
      </c>
      <c r="BD981" t="inlineStr">
        <is>
          <t>9780192631961</t>
        </is>
      </c>
      <c r="BE981" t="inlineStr">
        <is>
          <t>30001004238343</t>
        </is>
      </c>
      <c r="BF981" t="inlineStr">
        <is>
          <t>893633773</t>
        </is>
      </c>
    </row>
    <row r="982">
      <c r="A982" t="inlineStr">
        <is>
          <t>No</t>
        </is>
      </c>
      <c r="B982" t="inlineStr">
        <is>
          <t>CUHSL</t>
        </is>
      </c>
      <c r="C982" t="inlineStr">
        <is>
          <t>SHELVES</t>
        </is>
      </c>
      <c r="D982" t="inlineStr">
        <is>
          <t>W 265 AA1 J89p 2005</t>
        </is>
      </c>
      <c r="E982" t="inlineStr">
        <is>
          <t>0                      W  0265000AA 1                  J  89p         2005</t>
        </is>
      </c>
      <c r="F982" t="inlineStr">
        <is>
          <t>Pharmacy use and costs in employer-provided health plans : insights for TRICARE benefit design from the private sector / Geoffrey Joyce, Jesse D. Malkin, Jennifer Pace.</t>
        </is>
      </c>
      <c r="H982" t="inlineStr">
        <is>
          <t>No</t>
        </is>
      </c>
      <c r="I982" t="inlineStr">
        <is>
          <t>1</t>
        </is>
      </c>
      <c r="J982" t="inlineStr">
        <is>
          <t>No</t>
        </is>
      </c>
      <c r="K982" t="inlineStr">
        <is>
          <t>No</t>
        </is>
      </c>
      <c r="L982" t="inlineStr">
        <is>
          <t>0</t>
        </is>
      </c>
      <c r="M982" t="inlineStr">
        <is>
          <t>Joyce, Geoffrey.</t>
        </is>
      </c>
      <c r="N982" t="inlineStr">
        <is>
          <t>Santa Monica, CA : Rand, 2005.</t>
        </is>
      </c>
      <c r="O982" t="inlineStr">
        <is>
          <t>2005</t>
        </is>
      </c>
      <c r="Q982" t="inlineStr">
        <is>
          <t>eng</t>
        </is>
      </c>
      <c r="R982" t="inlineStr">
        <is>
          <t>cau</t>
        </is>
      </c>
      <c r="T982" t="inlineStr">
        <is>
          <t xml:space="preserve">W  </t>
        </is>
      </c>
      <c r="U982" t="n">
        <v>3</v>
      </c>
      <c r="V982" t="n">
        <v>3</v>
      </c>
      <c r="W982" t="inlineStr">
        <is>
          <t>2007-02-09</t>
        </is>
      </c>
      <c r="X982" t="inlineStr">
        <is>
          <t>2007-02-09</t>
        </is>
      </c>
      <c r="Y982" t="inlineStr">
        <is>
          <t>2007-02-09</t>
        </is>
      </c>
      <c r="Z982" t="inlineStr">
        <is>
          <t>2007-02-09</t>
        </is>
      </c>
      <c r="AA982" t="n">
        <v>115</v>
      </c>
      <c r="AB982" t="n">
        <v>107</v>
      </c>
      <c r="AC982" t="n">
        <v>125</v>
      </c>
      <c r="AD982" t="n">
        <v>1</v>
      </c>
      <c r="AE982" t="n">
        <v>1</v>
      </c>
      <c r="AF982" t="n">
        <v>1</v>
      </c>
      <c r="AG982" t="n">
        <v>1</v>
      </c>
      <c r="AH982" t="n">
        <v>0</v>
      </c>
      <c r="AI982" t="n">
        <v>0</v>
      </c>
      <c r="AJ982" t="n">
        <v>0</v>
      </c>
      <c r="AK982" t="n">
        <v>0</v>
      </c>
      <c r="AL982" t="n">
        <v>1</v>
      </c>
      <c r="AM982" t="n">
        <v>1</v>
      </c>
      <c r="AN982" t="n">
        <v>0</v>
      </c>
      <c r="AO982" t="n">
        <v>0</v>
      </c>
      <c r="AP982" t="n">
        <v>0</v>
      </c>
      <c r="AQ982" t="n">
        <v>0</v>
      </c>
      <c r="AR982" t="inlineStr">
        <is>
          <t>No</t>
        </is>
      </c>
      <c r="AS982" t="inlineStr">
        <is>
          <t>No</t>
        </is>
      </c>
      <c r="AU982">
        <f>HYPERLINK("https://creighton-primo.hosted.exlibrisgroup.com/primo-explore/search?tab=default_tab&amp;search_scope=EVERYTHING&amp;vid=01CRU&amp;lang=en_US&amp;offset=0&amp;query=any,contains,991000594469702656","Catalog Record")</f>
        <v/>
      </c>
      <c r="AV982">
        <f>HYPERLINK("http://www.worldcat.org/oclc/54082268","WorldCat Record")</f>
        <v/>
      </c>
      <c r="AW982" t="inlineStr">
        <is>
          <t>20806:eng</t>
        </is>
      </c>
      <c r="AX982" t="inlineStr">
        <is>
          <t>54082268</t>
        </is>
      </c>
      <c r="AY982" t="inlineStr">
        <is>
          <t>991000594469702656</t>
        </is>
      </c>
      <c r="AZ982" t="inlineStr">
        <is>
          <t>991000594469702656</t>
        </is>
      </c>
      <c r="BA982" t="inlineStr">
        <is>
          <t>2259489290002656</t>
        </is>
      </c>
      <c r="BB982" t="inlineStr">
        <is>
          <t>BOOK</t>
        </is>
      </c>
      <c r="BD982" t="inlineStr">
        <is>
          <t>9780833035493</t>
        </is>
      </c>
      <c r="BE982" t="inlineStr">
        <is>
          <t>30001005170099</t>
        </is>
      </c>
      <c r="BF982" t="inlineStr">
        <is>
          <t>893647403</t>
        </is>
      </c>
    </row>
    <row r="983">
      <c r="A983" t="inlineStr">
        <is>
          <t>No</t>
        </is>
      </c>
      <c r="B983" t="inlineStr">
        <is>
          <t>CUHSL</t>
        </is>
      </c>
      <c r="C983" t="inlineStr">
        <is>
          <t>SHELVES</t>
        </is>
      </c>
      <c r="D983" t="inlineStr">
        <is>
          <t>W 275 AA1 A5315c 1986</t>
        </is>
      </c>
      <c r="E983" t="inlineStr">
        <is>
          <t>0                      W  0275000AA 1                  A  5315c       1986</t>
        </is>
      </c>
      <c r="F983" t="inlineStr">
        <is>
          <t>Cost and compassion : recommendations for avoiding a crisis in care for the medically indigent : the report of the Special Committee on Care for the Indigent.</t>
        </is>
      </c>
      <c r="H983" t="inlineStr">
        <is>
          <t>No</t>
        </is>
      </c>
      <c r="I983" t="inlineStr">
        <is>
          <t>1</t>
        </is>
      </c>
      <c r="J983" t="inlineStr">
        <is>
          <t>No</t>
        </is>
      </c>
      <c r="K983" t="inlineStr">
        <is>
          <t>No</t>
        </is>
      </c>
      <c r="L983" t="inlineStr">
        <is>
          <t>0</t>
        </is>
      </c>
      <c r="M983" t="inlineStr">
        <is>
          <t>American Hospital Association. Special Committee on Care for the Indigent.</t>
        </is>
      </c>
      <c r="N983" t="inlineStr">
        <is>
          <t>Chicago, Ill. : American Hospital Association, c1986.</t>
        </is>
      </c>
      <c r="O983" t="inlineStr">
        <is>
          <t>1986</t>
        </is>
      </c>
      <c r="Q983" t="inlineStr">
        <is>
          <t>eng</t>
        </is>
      </c>
      <c r="R983" t="inlineStr">
        <is>
          <t>xxu</t>
        </is>
      </c>
      <c r="T983" t="inlineStr">
        <is>
          <t xml:space="preserve">W  </t>
        </is>
      </c>
      <c r="U983" t="n">
        <v>5</v>
      </c>
      <c r="V983" t="n">
        <v>5</v>
      </c>
      <c r="W983" t="inlineStr">
        <is>
          <t>1990-03-08</t>
        </is>
      </c>
      <c r="X983" t="inlineStr">
        <is>
          <t>1990-03-08</t>
        </is>
      </c>
      <c r="Y983" t="inlineStr">
        <is>
          <t>1989-01-26</t>
        </is>
      </c>
      <c r="Z983" t="inlineStr">
        <is>
          <t>1989-01-26</t>
        </is>
      </c>
      <c r="AA983" t="n">
        <v>101</v>
      </c>
      <c r="AB983" t="n">
        <v>99</v>
      </c>
      <c r="AC983" t="n">
        <v>99</v>
      </c>
      <c r="AD983" t="n">
        <v>1</v>
      </c>
      <c r="AE983" t="n">
        <v>1</v>
      </c>
      <c r="AF983" t="n">
        <v>4</v>
      </c>
      <c r="AG983" t="n">
        <v>4</v>
      </c>
      <c r="AH983" t="n">
        <v>0</v>
      </c>
      <c r="AI983" t="n">
        <v>0</v>
      </c>
      <c r="AJ983" t="n">
        <v>1</v>
      </c>
      <c r="AK983" t="n">
        <v>1</v>
      </c>
      <c r="AL983" t="n">
        <v>1</v>
      </c>
      <c r="AM983" t="n">
        <v>1</v>
      </c>
      <c r="AN983" t="n">
        <v>0</v>
      </c>
      <c r="AO983" t="n">
        <v>0</v>
      </c>
      <c r="AP983" t="n">
        <v>2</v>
      </c>
      <c r="AQ983" t="n">
        <v>2</v>
      </c>
      <c r="AR983" t="inlineStr">
        <is>
          <t>No</t>
        </is>
      </c>
      <c r="AS983" t="inlineStr">
        <is>
          <t>No</t>
        </is>
      </c>
      <c r="AU983">
        <f>HYPERLINK("https://creighton-primo.hosted.exlibrisgroup.com/primo-explore/search?tab=default_tab&amp;search_scope=EVERYTHING&amp;vid=01CRU&amp;lang=en_US&amp;offset=0&amp;query=any,contains,991001114989702656","Catalog Record")</f>
        <v/>
      </c>
      <c r="AV983">
        <f>HYPERLINK("http://www.worldcat.org/oclc/13644095","WorldCat Record")</f>
        <v/>
      </c>
      <c r="AW983" t="inlineStr">
        <is>
          <t>7726260:eng</t>
        </is>
      </c>
      <c r="AX983" t="inlineStr">
        <is>
          <t>13644095</t>
        </is>
      </c>
      <c r="AY983" t="inlineStr">
        <is>
          <t>991001114989702656</t>
        </is>
      </c>
      <c r="AZ983" t="inlineStr">
        <is>
          <t>991001114989702656</t>
        </is>
      </c>
      <c r="BA983" t="inlineStr">
        <is>
          <t>2256379430002656</t>
        </is>
      </c>
      <c r="BB983" t="inlineStr">
        <is>
          <t>BOOK</t>
        </is>
      </c>
      <c r="BD983" t="inlineStr">
        <is>
          <t>9780872584440</t>
        </is>
      </c>
      <c r="BE983" t="inlineStr">
        <is>
          <t>30001001613043</t>
        </is>
      </c>
      <c r="BF983" t="inlineStr">
        <is>
          <t>893834567</t>
        </is>
      </c>
    </row>
    <row r="984">
      <c r="A984" t="inlineStr">
        <is>
          <t>No</t>
        </is>
      </c>
      <c r="B984" t="inlineStr">
        <is>
          <t>CUHSL</t>
        </is>
      </c>
      <c r="C984" t="inlineStr">
        <is>
          <t>SHELVES</t>
        </is>
      </c>
      <c r="D984" t="inlineStr">
        <is>
          <t>W 275 AA1 B986t 1988</t>
        </is>
      </c>
      <c r="E984" t="inlineStr">
        <is>
          <t>0                      W  0275000AA 1                  B  986t        1988</t>
        </is>
      </c>
      <c r="F984" t="inlineStr">
        <is>
          <t>Too poor to be sick : access to medical care for the uninsured / Patricia A. Butler.</t>
        </is>
      </c>
      <c r="H984" t="inlineStr">
        <is>
          <t>No</t>
        </is>
      </c>
      <c r="I984" t="inlineStr">
        <is>
          <t>1</t>
        </is>
      </c>
      <c r="J984" t="inlineStr">
        <is>
          <t>No</t>
        </is>
      </c>
      <c r="K984" t="inlineStr">
        <is>
          <t>No</t>
        </is>
      </c>
      <c r="L984" t="inlineStr">
        <is>
          <t>0</t>
        </is>
      </c>
      <c r="M984" t="inlineStr">
        <is>
          <t>Butler, Patricia (Patricia A.)</t>
        </is>
      </c>
      <c r="N984" t="inlineStr">
        <is>
          <t>Washington, DC : American Public Health Association, c1988.</t>
        </is>
      </c>
      <c r="O984" t="inlineStr">
        <is>
          <t>1988</t>
        </is>
      </c>
      <c r="Q984" t="inlineStr">
        <is>
          <t>eng</t>
        </is>
      </c>
      <c r="R984" t="inlineStr">
        <is>
          <t>dcu</t>
        </is>
      </c>
      <c r="S984" t="inlineStr">
        <is>
          <t>APHA public health policy series</t>
        </is>
      </c>
      <c r="T984" t="inlineStr">
        <is>
          <t xml:space="preserve">W  </t>
        </is>
      </c>
      <c r="U984" t="n">
        <v>20</v>
      </c>
      <c r="V984" t="n">
        <v>20</v>
      </c>
      <c r="W984" t="inlineStr">
        <is>
          <t>2008-01-31</t>
        </is>
      </c>
      <c r="X984" t="inlineStr">
        <is>
          <t>2008-01-31</t>
        </is>
      </c>
      <c r="Y984" t="inlineStr">
        <is>
          <t>1989-09-11</t>
        </is>
      </c>
      <c r="Z984" t="inlineStr">
        <is>
          <t>1989-09-11</t>
        </is>
      </c>
      <c r="AA984" t="n">
        <v>213</v>
      </c>
      <c r="AB984" t="n">
        <v>195</v>
      </c>
      <c r="AC984" t="n">
        <v>202</v>
      </c>
      <c r="AD984" t="n">
        <v>2</v>
      </c>
      <c r="AE984" t="n">
        <v>2</v>
      </c>
      <c r="AF984" t="n">
        <v>12</v>
      </c>
      <c r="AG984" t="n">
        <v>12</v>
      </c>
      <c r="AH984" t="n">
        <v>2</v>
      </c>
      <c r="AI984" t="n">
        <v>2</v>
      </c>
      <c r="AJ984" t="n">
        <v>4</v>
      </c>
      <c r="AK984" t="n">
        <v>4</v>
      </c>
      <c r="AL984" t="n">
        <v>7</v>
      </c>
      <c r="AM984" t="n">
        <v>7</v>
      </c>
      <c r="AN984" t="n">
        <v>1</v>
      </c>
      <c r="AO984" t="n">
        <v>1</v>
      </c>
      <c r="AP984" t="n">
        <v>1</v>
      </c>
      <c r="AQ984" t="n">
        <v>1</v>
      </c>
      <c r="AR984" t="inlineStr">
        <is>
          <t>No</t>
        </is>
      </c>
      <c r="AS984" t="inlineStr">
        <is>
          <t>Yes</t>
        </is>
      </c>
      <c r="AT984">
        <f>HYPERLINK("http://catalog.hathitrust.org/Record/004486163","HathiTrust Record")</f>
        <v/>
      </c>
      <c r="AU984">
        <f>HYPERLINK("https://creighton-primo.hosted.exlibrisgroup.com/primo-explore/search?tab=default_tab&amp;search_scope=EVERYTHING&amp;vid=01CRU&amp;lang=en_US&amp;offset=0&amp;query=any,contains,991001321039702656","Catalog Record")</f>
        <v/>
      </c>
      <c r="AV984">
        <f>HYPERLINK("http://www.worldcat.org/oclc/18497519","WorldCat Record")</f>
        <v/>
      </c>
      <c r="AW984" t="inlineStr">
        <is>
          <t>18152987:eng</t>
        </is>
      </c>
      <c r="AX984" t="inlineStr">
        <is>
          <t>18497519</t>
        </is>
      </c>
      <c r="AY984" t="inlineStr">
        <is>
          <t>991001321039702656</t>
        </is>
      </c>
      <c r="AZ984" t="inlineStr">
        <is>
          <t>991001321039702656</t>
        </is>
      </c>
      <c r="BA984" t="inlineStr">
        <is>
          <t>2271155100002656</t>
        </is>
      </c>
      <c r="BB984" t="inlineStr">
        <is>
          <t>BOOK</t>
        </is>
      </c>
      <c r="BD984" t="inlineStr">
        <is>
          <t>9780875531519</t>
        </is>
      </c>
      <c r="BE984" t="inlineStr">
        <is>
          <t>30001001753625</t>
        </is>
      </c>
      <c r="BF984" t="inlineStr">
        <is>
          <t>893268362</t>
        </is>
      </c>
    </row>
    <row r="985">
      <c r="A985" t="inlineStr">
        <is>
          <t>No</t>
        </is>
      </c>
      <c r="B985" t="inlineStr">
        <is>
          <t>CUHSL</t>
        </is>
      </c>
      <c r="C985" t="inlineStr">
        <is>
          <t>SHELVES</t>
        </is>
      </c>
      <c r="D985" t="inlineStr">
        <is>
          <t>W 275 AA1 F33m 1986</t>
        </is>
      </c>
      <c r="E985" t="inlineStr">
        <is>
          <t>0                      W  0275000AA 1                  F  33m         1986</t>
        </is>
      </c>
      <c r="F985" t="inlineStr">
        <is>
          <t>Medical care, medical costs : the search for a health insurance policy / Rashi Fein.</t>
        </is>
      </c>
      <c r="H985" t="inlineStr">
        <is>
          <t>No</t>
        </is>
      </c>
      <c r="I985" t="inlineStr">
        <is>
          <t>1</t>
        </is>
      </c>
      <c r="J985" t="inlineStr">
        <is>
          <t>No</t>
        </is>
      </c>
      <c r="K985" t="inlineStr">
        <is>
          <t>No</t>
        </is>
      </c>
      <c r="L985" t="inlineStr">
        <is>
          <t>0</t>
        </is>
      </c>
      <c r="M985" t="inlineStr">
        <is>
          <t>Fein, Rashi.</t>
        </is>
      </c>
      <c r="N985" t="inlineStr">
        <is>
          <t>Cambridge, Mass. : Harvard University Press, c1986.</t>
        </is>
      </c>
      <c r="O985" t="inlineStr">
        <is>
          <t>1986</t>
        </is>
      </c>
      <c r="Q985" t="inlineStr">
        <is>
          <t>eng</t>
        </is>
      </c>
      <c r="R985" t="inlineStr">
        <is>
          <t>xxu</t>
        </is>
      </c>
      <c r="T985" t="inlineStr">
        <is>
          <t xml:space="preserve">W  </t>
        </is>
      </c>
      <c r="U985" t="n">
        <v>12</v>
      </c>
      <c r="V985" t="n">
        <v>12</v>
      </c>
      <c r="W985" t="inlineStr">
        <is>
          <t>2005-06-15</t>
        </is>
      </c>
      <c r="X985" t="inlineStr">
        <is>
          <t>2005-06-15</t>
        </is>
      </c>
      <c r="Y985" t="inlineStr">
        <is>
          <t>1989-03-23</t>
        </is>
      </c>
      <c r="Z985" t="inlineStr">
        <is>
          <t>1989-03-23</t>
        </is>
      </c>
      <c r="AA985" t="n">
        <v>865</v>
      </c>
      <c r="AB985" t="n">
        <v>774</v>
      </c>
      <c r="AC985" t="n">
        <v>818</v>
      </c>
      <c r="AD985" t="n">
        <v>6</v>
      </c>
      <c r="AE985" t="n">
        <v>6</v>
      </c>
      <c r="AF985" t="n">
        <v>40</v>
      </c>
      <c r="AG985" t="n">
        <v>42</v>
      </c>
      <c r="AH985" t="n">
        <v>14</v>
      </c>
      <c r="AI985" t="n">
        <v>15</v>
      </c>
      <c r="AJ985" t="n">
        <v>9</v>
      </c>
      <c r="AK985" t="n">
        <v>9</v>
      </c>
      <c r="AL985" t="n">
        <v>17</v>
      </c>
      <c r="AM985" t="n">
        <v>17</v>
      </c>
      <c r="AN985" t="n">
        <v>5</v>
      </c>
      <c r="AO985" t="n">
        <v>5</v>
      </c>
      <c r="AP985" t="n">
        <v>5</v>
      </c>
      <c r="AQ985" t="n">
        <v>6</v>
      </c>
      <c r="AR985" t="inlineStr">
        <is>
          <t>No</t>
        </is>
      </c>
      <c r="AS985" t="inlineStr">
        <is>
          <t>Yes</t>
        </is>
      </c>
      <c r="AT985">
        <f>HYPERLINK("http://catalog.hathitrust.org/Record/000481783","HathiTrust Record")</f>
        <v/>
      </c>
      <c r="AU985">
        <f>HYPERLINK("https://creighton-primo.hosted.exlibrisgroup.com/primo-explore/search?tab=default_tab&amp;search_scope=EVERYTHING&amp;vid=01CRU&amp;lang=en_US&amp;offset=0&amp;query=any,contains,991001242729702656","Catalog Record")</f>
        <v/>
      </c>
      <c r="AV985">
        <f>HYPERLINK("http://www.worldcat.org/oclc/13424679","WorldCat Record")</f>
        <v/>
      </c>
      <c r="AW985" t="inlineStr">
        <is>
          <t>57038:eng</t>
        </is>
      </c>
      <c r="AX985" t="inlineStr">
        <is>
          <t>13424679</t>
        </is>
      </c>
      <c r="AY985" t="inlineStr">
        <is>
          <t>991001242729702656</t>
        </is>
      </c>
      <c r="AZ985" t="inlineStr">
        <is>
          <t>991001242729702656</t>
        </is>
      </c>
      <c r="BA985" t="inlineStr">
        <is>
          <t>2264006790002656</t>
        </is>
      </c>
      <c r="BB985" t="inlineStr">
        <is>
          <t>BOOK</t>
        </is>
      </c>
      <c r="BD985" t="inlineStr">
        <is>
          <t>9780674560529</t>
        </is>
      </c>
      <c r="BE985" t="inlineStr">
        <is>
          <t>30001001676081</t>
        </is>
      </c>
      <c r="BF985" t="inlineStr">
        <is>
          <t>893268240</t>
        </is>
      </c>
    </row>
    <row r="986">
      <c r="A986" t="inlineStr">
        <is>
          <t>No</t>
        </is>
      </c>
      <c r="B986" t="inlineStr">
        <is>
          <t>CUHSL</t>
        </is>
      </c>
      <c r="C986" t="inlineStr">
        <is>
          <t>SHELVES</t>
        </is>
      </c>
      <c r="D986" t="inlineStr">
        <is>
          <t>W 275 AA1 H434 1986</t>
        </is>
      </c>
      <c r="E986" t="inlineStr">
        <is>
          <t>0                      W  0275000AA 1                  H  434         1986</t>
        </is>
      </c>
      <c r="F986" t="inlineStr">
        <is>
          <t>Health care for the insured; politics, economics, &amp; social justice : the proceedings / editor Jack E. Walsh.</t>
        </is>
      </c>
      <c r="H986" t="inlineStr">
        <is>
          <t>No</t>
        </is>
      </c>
      <c r="I986" t="inlineStr">
        <is>
          <t>1</t>
        </is>
      </c>
      <c r="J986" t="inlineStr">
        <is>
          <t>No</t>
        </is>
      </c>
      <c r="K986" t="inlineStr">
        <is>
          <t>No</t>
        </is>
      </c>
      <c r="L986" t="inlineStr">
        <is>
          <t>0</t>
        </is>
      </c>
      <c r="N986" t="inlineStr">
        <is>
          <t>Omaha : Creighton University, c1987.</t>
        </is>
      </c>
      <c r="O986" t="inlineStr">
        <is>
          <t>1986</t>
        </is>
      </c>
      <c r="Q986" t="inlineStr">
        <is>
          <t>eng</t>
        </is>
      </c>
      <c r="R986" t="inlineStr">
        <is>
          <t>nbu</t>
        </is>
      </c>
      <c r="T986" t="inlineStr">
        <is>
          <t xml:space="preserve">W  </t>
        </is>
      </c>
      <c r="U986" t="n">
        <v>3</v>
      </c>
      <c r="V986" t="n">
        <v>3</v>
      </c>
      <c r="W986" t="inlineStr">
        <is>
          <t>1998-04-06</t>
        </is>
      </c>
      <c r="X986" t="inlineStr">
        <is>
          <t>1998-04-06</t>
        </is>
      </c>
      <c r="Y986" t="inlineStr">
        <is>
          <t>1990-03-03</t>
        </is>
      </c>
      <c r="Z986" t="inlineStr">
        <is>
          <t>1990-03-03</t>
        </is>
      </c>
      <c r="AA986" t="n">
        <v>1</v>
      </c>
      <c r="AB986" t="n">
        <v>1</v>
      </c>
      <c r="AC986" t="n">
        <v>1</v>
      </c>
      <c r="AD986" t="n">
        <v>1</v>
      </c>
      <c r="AE986" t="n">
        <v>1</v>
      </c>
      <c r="AF986" t="n">
        <v>0</v>
      </c>
      <c r="AG986" t="n">
        <v>0</v>
      </c>
      <c r="AH986" t="n">
        <v>0</v>
      </c>
      <c r="AI986" t="n">
        <v>0</v>
      </c>
      <c r="AJ986" t="n">
        <v>0</v>
      </c>
      <c r="AK986" t="n">
        <v>0</v>
      </c>
      <c r="AL986" t="n">
        <v>0</v>
      </c>
      <c r="AM986" t="n">
        <v>0</v>
      </c>
      <c r="AN986" t="n">
        <v>0</v>
      </c>
      <c r="AO986" t="n">
        <v>0</v>
      </c>
      <c r="AP986" t="n">
        <v>0</v>
      </c>
      <c r="AQ986" t="n">
        <v>0</v>
      </c>
      <c r="AR986" t="inlineStr">
        <is>
          <t>No</t>
        </is>
      </c>
      <c r="AS986" t="inlineStr">
        <is>
          <t>No</t>
        </is>
      </c>
      <c r="AU986">
        <f>HYPERLINK("https://creighton-primo.hosted.exlibrisgroup.com/primo-explore/search?tab=default_tab&amp;search_scope=EVERYTHING&amp;vid=01CRU&amp;lang=en_US&amp;offset=0&amp;query=any,contains,991001171309702656","Catalog Record")</f>
        <v/>
      </c>
      <c r="AV986">
        <f>HYPERLINK("http://www.worldcat.org/oclc/21155028","WorldCat Record")</f>
        <v/>
      </c>
      <c r="AW986" t="inlineStr">
        <is>
          <t>22101191:eng</t>
        </is>
      </c>
      <c r="AX986" t="inlineStr">
        <is>
          <t>21155028</t>
        </is>
      </c>
      <c r="AY986" t="inlineStr">
        <is>
          <t>991001171309702656</t>
        </is>
      </c>
      <c r="AZ986" t="inlineStr">
        <is>
          <t>991001171309702656</t>
        </is>
      </c>
      <c r="BA986" t="inlineStr">
        <is>
          <t>2266039920002656</t>
        </is>
      </c>
      <c r="BB986" t="inlineStr">
        <is>
          <t>BOOK</t>
        </is>
      </c>
      <c r="BE986" t="inlineStr">
        <is>
          <t>30001000975179</t>
        </is>
      </c>
      <c r="BF986" t="inlineStr">
        <is>
          <t>893148936</t>
        </is>
      </c>
    </row>
    <row r="987">
      <c r="A987" t="inlineStr">
        <is>
          <t>No</t>
        </is>
      </c>
      <c r="B987" t="inlineStr">
        <is>
          <t>CUHSL</t>
        </is>
      </c>
      <c r="C987" t="inlineStr">
        <is>
          <t>SHELVES</t>
        </is>
      </c>
      <c r="D987" t="inlineStr">
        <is>
          <t>W 275 AA1 K9p 1974</t>
        </is>
      </c>
      <c r="E987" t="inlineStr">
        <is>
          <t>0                      W  0275000AA 1                  K  9p          1974</t>
        </is>
      </c>
      <c r="F987" t="inlineStr">
        <is>
          <t>The patient as consumer : health care financing in the United States / by John Krizay and Andrew Wilson.</t>
        </is>
      </c>
      <c r="H987" t="inlineStr">
        <is>
          <t>No</t>
        </is>
      </c>
      <c r="I987" t="inlineStr">
        <is>
          <t>1</t>
        </is>
      </c>
      <c r="J987" t="inlineStr">
        <is>
          <t>No</t>
        </is>
      </c>
      <c r="K987" t="inlineStr">
        <is>
          <t>No</t>
        </is>
      </c>
      <c r="L987" t="inlineStr">
        <is>
          <t>0</t>
        </is>
      </c>
      <c r="M987" t="inlineStr">
        <is>
          <t>Krizay, John.</t>
        </is>
      </c>
      <c r="N987" t="inlineStr">
        <is>
          <t>Lexington, Mass. : Lexington Books, 1974.</t>
        </is>
      </c>
      <c r="O987" t="inlineStr">
        <is>
          <t>1974</t>
        </is>
      </c>
      <c r="Q987" t="inlineStr">
        <is>
          <t>eng</t>
        </is>
      </c>
      <c r="R987" t="inlineStr">
        <is>
          <t>mau</t>
        </is>
      </c>
      <c r="T987" t="inlineStr">
        <is>
          <t xml:space="preserve">W  </t>
        </is>
      </c>
      <c r="U987" t="n">
        <v>4</v>
      </c>
      <c r="V987" t="n">
        <v>4</v>
      </c>
      <c r="W987" t="inlineStr">
        <is>
          <t>2001-10-25</t>
        </is>
      </c>
      <c r="X987" t="inlineStr">
        <is>
          <t>2001-10-25</t>
        </is>
      </c>
      <c r="Y987" t="inlineStr">
        <is>
          <t>1988-01-18</t>
        </is>
      </c>
      <c r="Z987" t="inlineStr">
        <is>
          <t>1988-01-18</t>
        </is>
      </c>
      <c r="AA987" t="n">
        <v>589</v>
      </c>
      <c r="AB987" t="n">
        <v>541</v>
      </c>
      <c r="AC987" t="n">
        <v>551</v>
      </c>
      <c r="AD987" t="n">
        <v>5</v>
      </c>
      <c r="AE987" t="n">
        <v>5</v>
      </c>
      <c r="AF987" t="n">
        <v>27</v>
      </c>
      <c r="AG987" t="n">
        <v>27</v>
      </c>
      <c r="AH987" t="n">
        <v>8</v>
      </c>
      <c r="AI987" t="n">
        <v>8</v>
      </c>
      <c r="AJ987" t="n">
        <v>3</v>
      </c>
      <c r="AK987" t="n">
        <v>3</v>
      </c>
      <c r="AL987" t="n">
        <v>14</v>
      </c>
      <c r="AM987" t="n">
        <v>14</v>
      </c>
      <c r="AN987" t="n">
        <v>4</v>
      </c>
      <c r="AO987" t="n">
        <v>4</v>
      </c>
      <c r="AP987" t="n">
        <v>3</v>
      </c>
      <c r="AQ987" t="n">
        <v>3</v>
      </c>
      <c r="AR987" t="inlineStr">
        <is>
          <t>No</t>
        </is>
      </c>
      <c r="AS987" t="inlineStr">
        <is>
          <t>Yes</t>
        </is>
      </c>
      <c r="AT987">
        <f>HYPERLINK("http://catalog.hathitrust.org/Record/000012501","HathiTrust Record")</f>
        <v/>
      </c>
      <c r="AU987">
        <f>HYPERLINK("https://creighton-primo.hosted.exlibrisgroup.com/primo-explore/search?tab=default_tab&amp;search_scope=EVERYTHING&amp;vid=01CRU&amp;lang=en_US&amp;offset=0&amp;query=any,contains,991000663779702656","Catalog Record")</f>
        <v/>
      </c>
      <c r="AV987">
        <f>HYPERLINK("http://www.worldcat.org/oclc/821355","WorldCat Record")</f>
        <v/>
      </c>
      <c r="AW987" t="inlineStr">
        <is>
          <t>836628760:eng</t>
        </is>
      </c>
      <c r="AX987" t="inlineStr">
        <is>
          <t>821355</t>
        </is>
      </c>
      <c r="AY987" t="inlineStr">
        <is>
          <t>991000663779702656</t>
        </is>
      </c>
      <c r="AZ987" t="inlineStr">
        <is>
          <t>991000663779702656</t>
        </is>
      </c>
      <c r="BA987" t="inlineStr">
        <is>
          <t>2256435670002656</t>
        </is>
      </c>
      <c r="BB987" t="inlineStr">
        <is>
          <t>BOOK</t>
        </is>
      </c>
      <c r="BD987" t="inlineStr">
        <is>
          <t>9780669934014</t>
        </is>
      </c>
      <c r="BE987" t="inlineStr">
        <is>
          <t>30001000689069</t>
        </is>
      </c>
      <c r="BF987" t="inlineStr">
        <is>
          <t>893147879</t>
        </is>
      </c>
    </row>
    <row r="988">
      <c r="A988" t="inlineStr">
        <is>
          <t>No</t>
        </is>
      </c>
      <c r="B988" t="inlineStr">
        <is>
          <t>CUHSL</t>
        </is>
      </c>
      <c r="C988" t="inlineStr">
        <is>
          <t>SHELVES</t>
        </is>
      </c>
      <c r="D988" t="inlineStr">
        <is>
          <t>W 275 AA1 L86h 1981a</t>
        </is>
      </c>
      <c r="E988" t="inlineStr">
        <is>
          <t>0                      W  0275000AA 1                  L  86h         1981a</t>
        </is>
      </c>
      <c r="F988" t="inlineStr">
        <is>
          <t>Health maintenance organizations : dimensions of performance / Harold S. Luft.</t>
        </is>
      </c>
      <c r="H988" t="inlineStr">
        <is>
          <t>No</t>
        </is>
      </c>
      <c r="I988" t="inlineStr">
        <is>
          <t>1</t>
        </is>
      </c>
      <c r="J988" t="inlineStr">
        <is>
          <t>No</t>
        </is>
      </c>
      <c r="K988" t="inlineStr">
        <is>
          <t>No</t>
        </is>
      </c>
      <c r="L988" t="inlineStr">
        <is>
          <t>0</t>
        </is>
      </c>
      <c r="M988" t="inlineStr">
        <is>
          <t>Luft, Harold S.</t>
        </is>
      </c>
      <c r="N988" t="inlineStr">
        <is>
          <t>New Brunswick, U.S.A. : Transaction Books, c1987.</t>
        </is>
      </c>
      <c r="O988" t="inlineStr">
        <is>
          <t>1987</t>
        </is>
      </c>
      <c r="P988" t="inlineStr">
        <is>
          <t>[Transaction ed.].</t>
        </is>
      </c>
      <c r="Q988" t="inlineStr">
        <is>
          <t>eng</t>
        </is>
      </c>
      <c r="R988" t="inlineStr">
        <is>
          <t>xxu</t>
        </is>
      </c>
      <c r="T988" t="inlineStr">
        <is>
          <t xml:space="preserve">W  </t>
        </is>
      </c>
      <c r="U988" t="n">
        <v>13</v>
      </c>
      <c r="V988" t="n">
        <v>13</v>
      </c>
      <c r="W988" t="inlineStr">
        <is>
          <t>1998-11-12</t>
        </is>
      </c>
      <c r="X988" t="inlineStr">
        <is>
          <t>1998-11-12</t>
        </is>
      </c>
      <c r="Y988" t="inlineStr">
        <is>
          <t>1988-08-23</t>
        </is>
      </c>
      <c r="Z988" t="inlineStr">
        <is>
          <t>1988-08-23</t>
        </is>
      </c>
      <c r="AA988" t="n">
        <v>115</v>
      </c>
      <c r="AB988" t="n">
        <v>99</v>
      </c>
      <c r="AC988" t="n">
        <v>331</v>
      </c>
      <c r="AD988" t="n">
        <v>1</v>
      </c>
      <c r="AE988" t="n">
        <v>1</v>
      </c>
      <c r="AF988" t="n">
        <v>7</v>
      </c>
      <c r="AG988" t="n">
        <v>12</v>
      </c>
      <c r="AH988" t="n">
        <v>2</v>
      </c>
      <c r="AI988" t="n">
        <v>2</v>
      </c>
      <c r="AJ988" t="n">
        <v>2</v>
      </c>
      <c r="AK988" t="n">
        <v>4</v>
      </c>
      <c r="AL988" t="n">
        <v>5</v>
      </c>
      <c r="AM988" t="n">
        <v>9</v>
      </c>
      <c r="AN988" t="n">
        <v>0</v>
      </c>
      <c r="AO988" t="n">
        <v>0</v>
      </c>
      <c r="AP988" t="n">
        <v>0</v>
      </c>
      <c r="AQ988" t="n">
        <v>0</v>
      </c>
      <c r="AR988" t="inlineStr">
        <is>
          <t>No</t>
        </is>
      </c>
      <c r="AS988" t="inlineStr">
        <is>
          <t>No</t>
        </is>
      </c>
      <c r="AU988">
        <f>HYPERLINK("https://creighton-primo.hosted.exlibrisgroup.com/primo-explore/search?tab=default_tab&amp;search_scope=EVERYTHING&amp;vid=01CRU&amp;lang=en_US&amp;offset=0&amp;query=any,contains,991001422799702656","Catalog Record")</f>
        <v/>
      </c>
      <c r="AV988">
        <f>HYPERLINK("http://www.worldcat.org/oclc/15108005","WorldCat Record")</f>
        <v/>
      </c>
      <c r="AW988" t="inlineStr">
        <is>
          <t>488275:eng</t>
        </is>
      </c>
      <c r="AX988" t="inlineStr">
        <is>
          <t>15108005</t>
        </is>
      </c>
      <c r="AY988" t="inlineStr">
        <is>
          <t>991001422799702656</t>
        </is>
      </c>
      <c r="AZ988" t="inlineStr">
        <is>
          <t>991001422799702656</t>
        </is>
      </c>
      <c r="BA988" t="inlineStr">
        <is>
          <t>2258071130002656</t>
        </is>
      </c>
      <c r="BB988" t="inlineStr">
        <is>
          <t>BOOK</t>
        </is>
      </c>
      <c r="BD988" t="inlineStr">
        <is>
          <t>9780887386817</t>
        </is>
      </c>
      <c r="BE988" t="inlineStr">
        <is>
          <t>30001001182908</t>
        </is>
      </c>
      <c r="BF988" t="inlineStr">
        <is>
          <t>893638303</t>
        </is>
      </c>
    </row>
    <row r="989">
      <c r="A989" t="inlineStr">
        <is>
          <t>No</t>
        </is>
      </c>
      <c r="B989" t="inlineStr">
        <is>
          <t>CUHSL</t>
        </is>
      </c>
      <c r="C989" t="inlineStr">
        <is>
          <t>SHELVES</t>
        </is>
      </c>
      <c r="D989" t="inlineStr">
        <is>
          <t>W 275 AA1 N19 1977</t>
        </is>
      </c>
      <c r="E989" t="inlineStr">
        <is>
          <t>0                      W  0275000AA 1                  N  19          1977</t>
        </is>
      </c>
      <c r="F989" t="inlineStr">
        <is>
          <t>National health insurance / compiled and edited by Tyrus G. Fain ; in collaboration with Katharine C. Plant and Ross Milloy.</t>
        </is>
      </c>
      <c r="H989" t="inlineStr">
        <is>
          <t>No</t>
        </is>
      </c>
      <c r="I989" t="inlineStr">
        <is>
          <t>1</t>
        </is>
      </c>
      <c r="J989" t="inlineStr">
        <is>
          <t>No</t>
        </is>
      </c>
      <c r="K989" t="inlineStr">
        <is>
          <t>No</t>
        </is>
      </c>
      <c r="L989" t="inlineStr">
        <is>
          <t>0</t>
        </is>
      </c>
      <c r="N989" t="inlineStr">
        <is>
          <t>-- New York : Bowker, 1977.</t>
        </is>
      </c>
      <c r="O989" t="inlineStr">
        <is>
          <t>1977</t>
        </is>
      </c>
      <c r="Q989" t="inlineStr">
        <is>
          <t>eng</t>
        </is>
      </c>
      <c r="R989" t="inlineStr">
        <is>
          <t>nyu</t>
        </is>
      </c>
      <c r="S989" t="inlineStr">
        <is>
          <t>Public documents series</t>
        </is>
      </c>
      <c r="T989" t="inlineStr">
        <is>
          <t xml:space="preserve">W  </t>
        </is>
      </c>
      <c r="U989" t="n">
        <v>1</v>
      </c>
      <c r="V989" t="n">
        <v>1</v>
      </c>
      <c r="W989" t="inlineStr">
        <is>
          <t>1994-12-03</t>
        </is>
      </c>
      <c r="X989" t="inlineStr">
        <is>
          <t>1994-12-03</t>
        </is>
      </c>
      <c r="Y989" t="inlineStr">
        <is>
          <t>1987-12-22</t>
        </is>
      </c>
      <c r="Z989" t="inlineStr">
        <is>
          <t>1987-12-22</t>
        </is>
      </c>
      <c r="AA989" t="n">
        <v>490</v>
      </c>
      <c r="AB989" t="n">
        <v>463</v>
      </c>
      <c r="AC989" t="n">
        <v>465</v>
      </c>
      <c r="AD989" t="n">
        <v>4</v>
      </c>
      <c r="AE989" t="n">
        <v>4</v>
      </c>
      <c r="AF989" t="n">
        <v>26</v>
      </c>
      <c r="AG989" t="n">
        <v>26</v>
      </c>
      <c r="AH989" t="n">
        <v>4</v>
      </c>
      <c r="AI989" t="n">
        <v>4</v>
      </c>
      <c r="AJ989" t="n">
        <v>6</v>
      </c>
      <c r="AK989" t="n">
        <v>6</v>
      </c>
      <c r="AL989" t="n">
        <v>11</v>
      </c>
      <c r="AM989" t="n">
        <v>11</v>
      </c>
      <c r="AN989" t="n">
        <v>3</v>
      </c>
      <c r="AO989" t="n">
        <v>3</v>
      </c>
      <c r="AP989" t="n">
        <v>8</v>
      </c>
      <c r="AQ989" t="n">
        <v>8</v>
      </c>
      <c r="AR989" t="inlineStr">
        <is>
          <t>No</t>
        </is>
      </c>
      <c r="AS989" t="inlineStr">
        <is>
          <t>Yes</t>
        </is>
      </c>
      <c r="AT989">
        <f>HYPERLINK("http://catalog.hathitrust.org/Record/000254274","HathiTrust Record")</f>
        <v/>
      </c>
      <c r="AU989">
        <f>HYPERLINK("https://creighton-primo.hosted.exlibrisgroup.com/primo-explore/search?tab=default_tab&amp;search_scope=EVERYTHING&amp;vid=01CRU&amp;lang=en_US&amp;offset=0&amp;query=any,contains,991000663829702656","Catalog Record")</f>
        <v/>
      </c>
      <c r="AV989">
        <f>HYPERLINK("http://www.worldcat.org/oclc/3089988","WorldCat Record")</f>
        <v/>
      </c>
      <c r="AW989" t="inlineStr">
        <is>
          <t>54173923:eng</t>
        </is>
      </c>
      <c r="AX989" t="inlineStr">
        <is>
          <t>3089988</t>
        </is>
      </c>
      <c r="AY989" t="inlineStr">
        <is>
          <t>991000663829702656</t>
        </is>
      </c>
      <c r="AZ989" t="inlineStr">
        <is>
          <t>991000663829702656</t>
        </is>
      </c>
      <c r="BA989" t="inlineStr">
        <is>
          <t>2263040290002656</t>
        </is>
      </c>
      <c r="BB989" t="inlineStr">
        <is>
          <t>BOOK</t>
        </is>
      </c>
      <c r="BD989" t="inlineStr">
        <is>
          <t>9780835209601</t>
        </is>
      </c>
      <c r="BE989" t="inlineStr">
        <is>
          <t>30001000689077</t>
        </is>
      </c>
      <c r="BF989" t="inlineStr">
        <is>
          <t>893730872</t>
        </is>
      </c>
    </row>
    <row r="990">
      <c r="A990" t="inlineStr">
        <is>
          <t>No</t>
        </is>
      </c>
      <c r="B990" t="inlineStr">
        <is>
          <t>CUHSL</t>
        </is>
      </c>
      <c r="C990" t="inlineStr">
        <is>
          <t>SHELVES</t>
        </is>
      </c>
      <c r="D990" t="inlineStr">
        <is>
          <t>W 275 AA1 N43</t>
        </is>
      </c>
      <c r="E990" t="inlineStr">
        <is>
          <t>0                      W  0275000AA 1                  N  43</t>
        </is>
      </c>
      <c r="F990" t="inlineStr">
        <is>
          <t>New directions in public health care : an evaluation of proposals for national health insurance / Martin S. Feldstein ... [et al.] ; Cotton M. Lindsay, editor.</t>
        </is>
      </c>
      <c r="H990" t="inlineStr">
        <is>
          <t>No</t>
        </is>
      </c>
      <c r="I990" t="inlineStr">
        <is>
          <t>1</t>
        </is>
      </c>
      <c r="J990" t="inlineStr">
        <is>
          <t>No</t>
        </is>
      </c>
      <c r="K990" t="inlineStr">
        <is>
          <t>No</t>
        </is>
      </c>
      <c r="L990" t="inlineStr">
        <is>
          <t>0</t>
        </is>
      </c>
      <c r="N990" t="inlineStr">
        <is>
          <t>San Francisco : Institute for Contemporary Studies, 1976.</t>
        </is>
      </c>
      <c r="O990" t="inlineStr">
        <is>
          <t>1976</t>
        </is>
      </c>
      <c r="P990" t="inlineStr">
        <is>
          <t>2nd ed.</t>
        </is>
      </c>
      <c r="Q990" t="inlineStr">
        <is>
          <t>eng</t>
        </is>
      </c>
      <c r="R990" t="inlineStr">
        <is>
          <t>cau</t>
        </is>
      </c>
      <c r="T990" t="inlineStr">
        <is>
          <t xml:space="preserve">W  </t>
        </is>
      </c>
      <c r="U990" t="n">
        <v>1</v>
      </c>
      <c r="V990" t="n">
        <v>1</v>
      </c>
      <c r="W990" t="inlineStr">
        <is>
          <t>2001-10-25</t>
        </is>
      </c>
      <c r="X990" t="inlineStr">
        <is>
          <t>2001-10-25</t>
        </is>
      </c>
      <c r="Y990" t="inlineStr">
        <is>
          <t>1988-01-20</t>
        </is>
      </c>
      <c r="Z990" t="inlineStr">
        <is>
          <t>1988-01-20</t>
        </is>
      </c>
      <c r="AA990" t="n">
        <v>107</v>
      </c>
      <c r="AB990" t="n">
        <v>101</v>
      </c>
      <c r="AC990" t="n">
        <v>248</v>
      </c>
      <c r="AD990" t="n">
        <v>3</v>
      </c>
      <c r="AE990" t="n">
        <v>3</v>
      </c>
      <c r="AF990" t="n">
        <v>7</v>
      </c>
      <c r="AG990" t="n">
        <v>12</v>
      </c>
      <c r="AH990" t="n">
        <v>1</v>
      </c>
      <c r="AI990" t="n">
        <v>3</v>
      </c>
      <c r="AJ990" t="n">
        <v>1</v>
      </c>
      <c r="AK990" t="n">
        <v>2</v>
      </c>
      <c r="AL990" t="n">
        <v>3</v>
      </c>
      <c r="AM990" t="n">
        <v>6</v>
      </c>
      <c r="AN990" t="n">
        <v>2</v>
      </c>
      <c r="AO990" t="n">
        <v>2</v>
      </c>
      <c r="AP990" t="n">
        <v>1</v>
      </c>
      <c r="AQ990" t="n">
        <v>2</v>
      </c>
      <c r="AR990" t="inlineStr">
        <is>
          <t>No</t>
        </is>
      </c>
      <c r="AS990" t="inlineStr">
        <is>
          <t>Yes</t>
        </is>
      </c>
      <c r="AT990">
        <f>HYPERLINK("http://catalog.hathitrust.org/Record/001550345","HathiTrust Record")</f>
        <v/>
      </c>
      <c r="AU990">
        <f>HYPERLINK("https://creighton-primo.hosted.exlibrisgroup.com/primo-explore/search?tab=default_tab&amp;search_scope=EVERYTHING&amp;vid=01CRU&amp;lang=en_US&amp;offset=0&amp;query=any,contains,991000663929702656","Catalog Record")</f>
        <v/>
      </c>
      <c r="AV990">
        <f>HYPERLINK("http://www.worldcat.org/oclc/2813930","WorldCat Record")</f>
        <v/>
      </c>
      <c r="AW990" t="inlineStr">
        <is>
          <t>3943644939:eng</t>
        </is>
      </c>
      <c r="AX990" t="inlineStr">
        <is>
          <t>2813930</t>
        </is>
      </c>
      <c r="AY990" t="inlineStr">
        <is>
          <t>991000663929702656</t>
        </is>
      </c>
      <c r="AZ990" t="inlineStr">
        <is>
          <t>991000663929702656</t>
        </is>
      </c>
      <c r="BA990" t="inlineStr">
        <is>
          <t>2261614560002656</t>
        </is>
      </c>
      <c r="BB990" t="inlineStr">
        <is>
          <t>BOOK</t>
        </is>
      </c>
      <c r="BD990" t="inlineStr">
        <is>
          <t>9780917616006</t>
        </is>
      </c>
      <c r="BE990" t="inlineStr">
        <is>
          <t>30001000689085</t>
        </is>
      </c>
      <c r="BF990" t="inlineStr">
        <is>
          <t>893277872</t>
        </is>
      </c>
    </row>
    <row r="991">
      <c r="A991" t="inlineStr">
        <is>
          <t>No</t>
        </is>
      </c>
      <c r="B991" t="inlineStr">
        <is>
          <t>CUHSL</t>
        </is>
      </c>
      <c r="C991" t="inlineStr">
        <is>
          <t>SHELVES</t>
        </is>
      </c>
      <c r="D991" t="inlineStr">
        <is>
          <t>W275 AA1 R88ua 2004</t>
        </is>
      </c>
      <c r="E991" t="inlineStr">
        <is>
          <t>0                      W  0275000AA 1                  R  88ua        2004</t>
        </is>
      </c>
      <c r="F991" t="inlineStr">
        <is>
          <t>Understanding health insurance : a guide to professional billing / JoAnn C. Rowell, Michelle A. Green.</t>
        </is>
      </c>
      <c r="H991" t="inlineStr">
        <is>
          <t>No</t>
        </is>
      </c>
      <c r="I991" t="inlineStr">
        <is>
          <t>1</t>
        </is>
      </c>
      <c r="J991" t="inlineStr">
        <is>
          <t>No</t>
        </is>
      </c>
      <c r="K991" t="inlineStr">
        <is>
          <t>No</t>
        </is>
      </c>
      <c r="L991" t="inlineStr">
        <is>
          <t>0</t>
        </is>
      </c>
      <c r="M991" t="inlineStr">
        <is>
          <t>Rowell, Jo Ann C., 1934-</t>
        </is>
      </c>
      <c r="N991" t="inlineStr">
        <is>
          <t>Australia ; Clifton Park, NY : Thomson/Delmar Learning, c2004.</t>
        </is>
      </c>
      <c r="O991" t="inlineStr">
        <is>
          <t>2004</t>
        </is>
      </c>
      <c r="P991" t="inlineStr">
        <is>
          <t>7th ed.</t>
        </is>
      </c>
      <c r="Q991" t="inlineStr">
        <is>
          <t>eng</t>
        </is>
      </c>
      <c r="R991" t="inlineStr">
        <is>
          <t xml:space="preserve">at </t>
        </is>
      </c>
      <c r="T991" t="inlineStr">
        <is>
          <t xml:space="preserve">W  </t>
        </is>
      </c>
      <c r="U991" t="n">
        <v>4</v>
      </c>
      <c r="V991" t="n">
        <v>4</v>
      </c>
      <c r="W991" t="inlineStr">
        <is>
          <t>2004-05-14</t>
        </is>
      </c>
      <c r="X991" t="inlineStr">
        <is>
          <t>2004-05-14</t>
        </is>
      </c>
      <c r="Y991" t="inlineStr">
        <is>
          <t>2004-04-01</t>
        </is>
      </c>
      <c r="Z991" t="inlineStr">
        <is>
          <t>2004-04-01</t>
        </is>
      </c>
      <c r="AA991" t="n">
        <v>30</v>
      </c>
      <c r="AB991" t="n">
        <v>23</v>
      </c>
      <c r="AC991" t="n">
        <v>994</v>
      </c>
      <c r="AD991" t="n">
        <v>1</v>
      </c>
      <c r="AE991" t="n">
        <v>2</v>
      </c>
      <c r="AF991" t="n">
        <v>0</v>
      </c>
      <c r="AG991" t="n">
        <v>14</v>
      </c>
      <c r="AH991" t="n">
        <v>0</v>
      </c>
      <c r="AI991" t="n">
        <v>10</v>
      </c>
      <c r="AJ991" t="n">
        <v>0</v>
      </c>
      <c r="AK991" t="n">
        <v>3</v>
      </c>
      <c r="AL991" t="n">
        <v>0</v>
      </c>
      <c r="AM991" t="n">
        <v>5</v>
      </c>
      <c r="AN991" t="n">
        <v>0</v>
      </c>
      <c r="AO991" t="n">
        <v>1</v>
      </c>
      <c r="AP991" t="n">
        <v>0</v>
      </c>
      <c r="AQ991" t="n">
        <v>0</v>
      </c>
      <c r="AR991" t="inlineStr">
        <is>
          <t>No</t>
        </is>
      </c>
      <c r="AS991" t="inlineStr">
        <is>
          <t>No</t>
        </is>
      </c>
      <c r="AU991">
        <f>HYPERLINK("https://creighton-primo.hosted.exlibrisgroup.com/primo-explore/search?tab=default_tab&amp;search_scope=EVERYTHING&amp;vid=01CRU&amp;lang=en_US&amp;offset=0&amp;query=any,contains,991000369229702656","Catalog Record")</f>
        <v/>
      </c>
      <c r="AV991">
        <f>HYPERLINK("http://www.worldcat.org/oclc/53286213","WorldCat Record")</f>
        <v/>
      </c>
      <c r="AW991" t="inlineStr">
        <is>
          <t>3863782626:eng</t>
        </is>
      </c>
      <c r="AX991" t="inlineStr">
        <is>
          <t>53286213</t>
        </is>
      </c>
      <c r="AY991" t="inlineStr">
        <is>
          <t>991000369229702656</t>
        </is>
      </c>
      <c r="AZ991" t="inlineStr">
        <is>
          <t>991000369229702656</t>
        </is>
      </c>
      <c r="BA991" t="inlineStr">
        <is>
          <t>2257266190002656</t>
        </is>
      </c>
      <c r="BB991" t="inlineStr">
        <is>
          <t>BOOK</t>
        </is>
      </c>
      <c r="BD991" t="inlineStr">
        <is>
          <t>9781401837914</t>
        </is>
      </c>
      <c r="BE991" t="inlineStr">
        <is>
          <t>30001004507614</t>
        </is>
      </c>
      <c r="BF991" t="inlineStr">
        <is>
          <t>893547766</t>
        </is>
      </c>
    </row>
    <row r="992">
      <c r="A992" t="inlineStr">
        <is>
          <t>No</t>
        </is>
      </c>
      <c r="B992" t="inlineStr">
        <is>
          <t>CUHSL</t>
        </is>
      </c>
      <c r="C992" t="inlineStr">
        <is>
          <t>SHELVES</t>
        </is>
      </c>
      <c r="D992" t="inlineStr">
        <is>
          <t>W 275 AA1 S755m 1975</t>
        </is>
      </c>
      <c r="E992" t="inlineStr">
        <is>
          <t>0                      W  0275000AA 1                  S  755m        1975</t>
        </is>
      </c>
      <c r="F992" t="inlineStr">
        <is>
          <t>Medicaid : lessons for national health insurance / edited by Allen D. Spiegel and Simon Podair ; foreword by Joseph V. Terenzio.</t>
        </is>
      </c>
      <c r="H992" t="inlineStr">
        <is>
          <t>No</t>
        </is>
      </c>
      <c r="I992" t="inlineStr">
        <is>
          <t>1</t>
        </is>
      </c>
      <c r="J992" t="inlineStr">
        <is>
          <t>Yes</t>
        </is>
      </c>
      <c r="K992" t="inlineStr">
        <is>
          <t>No</t>
        </is>
      </c>
      <c r="L992" t="inlineStr">
        <is>
          <t>0</t>
        </is>
      </c>
      <c r="N992" t="inlineStr">
        <is>
          <t>Rockville, Md. : Aspen Systems Corp., [c1975]</t>
        </is>
      </c>
      <c r="O992" t="inlineStr">
        <is>
          <t>1975</t>
        </is>
      </c>
      <c r="Q992" t="inlineStr">
        <is>
          <t>eng</t>
        </is>
      </c>
      <c r="R992" t="inlineStr">
        <is>
          <t>mdu</t>
        </is>
      </c>
      <c r="T992" t="inlineStr">
        <is>
          <t xml:space="preserve">W  </t>
        </is>
      </c>
      <c r="U992" t="n">
        <v>9</v>
      </c>
      <c r="V992" t="n">
        <v>9</v>
      </c>
      <c r="W992" t="inlineStr">
        <is>
          <t>2004-11-15</t>
        </is>
      </c>
      <c r="X992" t="inlineStr">
        <is>
          <t>2004-11-15</t>
        </is>
      </c>
      <c r="Y992" t="inlineStr">
        <is>
          <t>1987-12-22</t>
        </is>
      </c>
      <c r="Z992" t="inlineStr">
        <is>
          <t>1987-12-22</t>
        </is>
      </c>
      <c r="AA992" t="n">
        <v>369</v>
      </c>
      <c r="AB992" t="n">
        <v>353</v>
      </c>
      <c r="AC992" t="n">
        <v>360</v>
      </c>
      <c r="AD992" t="n">
        <v>3</v>
      </c>
      <c r="AE992" t="n">
        <v>3</v>
      </c>
      <c r="AF992" t="n">
        <v>15</v>
      </c>
      <c r="AG992" t="n">
        <v>15</v>
      </c>
      <c r="AH992" t="n">
        <v>4</v>
      </c>
      <c r="AI992" t="n">
        <v>4</v>
      </c>
      <c r="AJ992" t="n">
        <v>3</v>
      </c>
      <c r="AK992" t="n">
        <v>3</v>
      </c>
      <c r="AL992" t="n">
        <v>3</v>
      </c>
      <c r="AM992" t="n">
        <v>3</v>
      </c>
      <c r="AN992" t="n">
        <v>1</v>
      </c>
      <c r="AO992" t="n">
        <v>1</v>
      </c>
      <c r="AP992" t="n">
        <v>6</v>
      </c>
      <c r="AQ992" t="n">
        <v>6</v>
      </c>
      <c r="AR992" t="inlineStr">
        <is>
          <t>No</t>
        </is>
      </c>
      <c r="AS992" t="inlineStr">
        <is>
          <t>Yes</t>
        </is>
      </c>
      <c r="AT992">
        <f>HYPERLINK("http://catalog.hathitrust.org/Record/000021597","HathiTrust Record")</f>
        <v/>
      </c>
      <c r="AU992">
        <f>HYPERLINK("https://creighton-primo.hosted.exlibrisgroup.com/primo-explore/search?tab=default_tab&amp;search_scope=EVERYTHING&amp;vid=01CRU&amp;lang=en_US&amp;offset=0&amp;query=any,contains,991000664009702656","Catalog Record")</f>
        <v/>
      </c>
      <c r="AV992">
        <f>HYPERLINK("http://www.worldcat.org/oclc/1225796","WorldCat Record")</f>
        <v/>
      </c>
      <c r="AW992" t="inlineStr">
        <is>
          <t>423115852:eng</t>
        </is>
      </c>
      <c r="AX992" t="inlineStr">
        <is>
          <t>1225796</t>
        </is>
      </c>
      <c r="AY992" t="inlineStr">
        <is>
          <t>991000664009702656</t>
        </is>
      </c>
      <c r="AZ992" t="inlineStr">
        <is>
          <t>991000664009702656</t>
        </is>
      </c>
      <c r="BA992" t="inlineStr">
        <is>
          <t>2262644510002656</t>
        </is>
      </c>
      <c r="BB992" t="inlineStr">
        <is>
          <t>BOOK</t>
        </is>
      </c>
      <c r="BD992" t="inlineStr">
        <is>
          <t>9780912862101</t>
        </is>
      </c>
      <c r="BE992" t="inlineStr">
        <is>
          <t>30001000689135</t>
        </is>
      </c>
      <c r="BF992" t="inlineStr">
        <is>
          <t>893368146</t>
        </is>
      </c>
    </row>
    <row r="993">
      <c r="A993" t="inlineStr">
        <is>
          <t>No</t>
        </is>
      </c>
      <c r="B993" t="inlineStr">
        <is>
          <t>CUHSL</t>
        </is>
      </c>
      <c r="C993" t="inlineStr">
        <is>
          <t>SHELVES</t>
        </is>
      </c>
      <c r="D993" t="inlineStr">
        <is>
          <t>W 275 AA1 S796L 1992</t>
        </is>
      </c>
      <c r="E993" t="inlineStr">
        <is>
          <t>0                      W  0275000AA 1                  S  796L        1992</t>
        </is>
      </c>
      <c r="F993" t="inlineStr">
        <is>
          <t>The logic of health-care reform / Paul Starr.</t>
        </is>
      </c>
      <c r="H993" t="inlineStr">
        <is>
          <t>No</t>
        </is>
      </c>
      <c r="I993" t="inlineStr">
        <is>
          <t>1</t>
        </is>
      </c>
      <c r="J993" t="inlineStr">
        <is>
          <t>No</t>
        </is>
      </c>
      <c r="K993" t="inlineStr">
        <is>
          <t>No</t>
        </is>
      </c>
      <c r="L993" t="inlineStr">
        <is>
          <t>0</t>
        </is>
      </c>
      <c r="M993" t="inlineStr">
        <is>
          <t>Starr, Paul, 1949-</t>
        </is>
      </c>
      <c r="N993" t="inlineStr">
        <is>
          <t>[Knoxville, TN] : Ground Rounds Press, Whittle Direct Books, c1992.</t>
        </is>
      </c>
      <c r="O993" t="inlineStr">
        <is>
          <t>1992</t>
        </is>
      </c>
      <c r="Q993" t="inlineStr">
        <is>
          <t>eng</t>
        </is>
      </c>
      <c r="R993" t="inlineStr">
        <is>
          <t>tnu</t>
        </is>
      </c>
      <c r="T993" t="inlineStr">
        <is>
          <t xml:space="preserve">W  </t>
        </is>
      </c>
      <c r="U993" t="n">
        <v>13</v>
      </c>
      <c r="V993" t="n">
        <v>13</v>
      </c>
      <c r="W993" t="inlineStr">
        <is>
          <t>1996-08-18</t>
        </is>
      </c>
      <c r="X993" t="inlineStr">
        <is>
          <t>1996-08-18</t>
        </is>
      </c>
      <c r="Y993" t="inlineStr">
        <is>
          <t>1993-01-22</t>
        </is>
      </c>
      <c r="Z993" t="inlineStr">
        <is>
          <t>1993-01-22</t>
        </is>
      </c>
      <c r="AA993" t="n">
        <v>306</v>
      </c>
      <c r="AB993" t="n">
        <v>302</v>
      </c>
      <c r="AC993" t="n">
        <v>307</v>
      </c>
      <c r="AD993" t="n">
        <v>3</v>
      </c>
      <c r="AE993" t="n">
        <v>3</v>
      </c>
      <c r="AF993" t="n">
        <v>6</v>
      </c>
      <c r="AG993" t="n">
        <v>6</v>
      </c>
      <c r="AH993" t="n">
        <v>1</v>
      </c>
      <c r="AI993" t="n">
        <v>1</v>
      </c>
      <c r="AJ993" t="n">
        <v>1</v>
      </c>
      <c r="AK993" t="n">
        <v>1</v>
      </c>
      <c r="AL993" t="n">
        <v>1</v>
      </c>
      <c r="AM993" t="n">
        <v>1</v>
      </c>
      <c r="AN993" t="n">
        <v>2</v>
      </c>
      <c r="AO993" t="n">
        <v>2</v>
      </c>
      <c r="AP993" t="n">
        <v>2</v>
      </c>
      <c r="AQ993" t="n">
        <v>2</v>
      </c>
      <c r="AR993" t="inlineStr">
        <is>
          <t>No</t>
        </is>
      </c>
      <c r="AS993" t="inlineStr">
        <is>
          <t>No</t>
        </is>
      </c>
      <c r="AU993">
        <f>HYPERLINK("https://creighton-primo.hosted.exlibrisgroup.com/primo-explore/search?tab=default_tab&amp;search_scope=EVERYTHING&amp;vid=01CRU&amp;lang=en_US&amp;offset=0&amp;query=any,contains,991001434849702656","Catalog Record")</f>
        <v/>
      </c>
      <c r="AV993">
        <f>HYPERLINK("http://www.worldcat.org/oclc/27137596","WorldCat Record")</f>
        <v/>
      </c>
      <c r="AW993" t="inlineStr">
        <is>
          <t>29822720:eng</t>
        </is>
      </c>
      <c r="AX993" t="inlineStr">
        <is>
          <t>27137596</t>
        </is>
      </c>
      <c r="AY993" t="inlineStr">
        <is>
          <t>991001434849702656</t>
        </is>
      </c>
      <c r="AZ993" t="inlineStr">
        <is>
          <t>991001434849702656</t>
        </is>
      </c>
      <c r="BA993" t="inlineStr">
        <is>
          <t>2259279450002656</t>
        </is>
      </c>
      <c r="BB993" t="inlineStr">
        <is>
          <t>BOOK</t>
        </is>
      </c>
      <c r="BD993" t="inlineStr">
        <is>
          <t>9781879736092</t>
        </is>
      </c>
      <c r="BE993" t="inlineStr">
        <is>
          <t>30001002530709</t>
        </is>
      </c>
      <c r="BF993" t="inlineStr">
        <is>
          <t>893561033</t>
        </is>
      </c>
    </row>
    <row r="994">
      <c r="A994" t="inlineStr">
        <is>
          <t>No</t>
        </is>
      </c>
      <c r="B994" t="inlineStr">
        <is>
          <t>CUHSL</t>
        </is>
      </c>
      <c r="C994" t="inlineStr">
        <is>
          <t>SHELVES</t>
        </is>
      </c>
      <c r="D994" t="inlineStr">
        <is>
          <t>W 275 AA1 S85d 1975</t>
        </is>
      </c>
      <c r="E994" t="inlineStr">
        <is>
          <t>0                      W  0275000AA 1                  S  85d         1975</t>
        </is>
      </c>
      <c r="F994" t="inlineStr">
        <is>
          <t>Delivery of health care services to the poor : findings from a review of the current periodical literature, with a key to 47 reports of innovative projects / James C. Stewart, Lottie Lee Crafton.</t>
        </is>
      </c>
      <c r="H994" t="inlineStr">
        <is>
          <t>No</t>
        </is>
      </c>
      <c r="I994" t="inlineStr">
        <is>
          <t>1</t>
        </is>
      </c>
      <c r="J994" t="inlineStr">
        <is>
          <t>No</t>
        </is>
      </c>
      <c r="K994" t="inlineStr">
        <is>
          <t>No</t>
        </is>
      </c>
      <c r="L994" t="inlineStr">
        <is>
          <t>0</t>
        </is>
      </c>
      <c r="M994" t="inlineStr">
        <is>
          <t>Stewart, J. C., 1949-</t>
        </is>
      </c>
      <c r="N994" t="inlineStr">
        <is>
          <t>Austin : Center for Social Work Research, Graduate School of Social Work, University of Texas, 1975.</t>
        </is>
      </c>
      <c r="O994" t="inlineStr">
        <is>
          <t>1975</t>
        </is>
      </c>
      <c r="Q994" t="inlineStr">
        <is>
          <t>eng</t>
        </is>
      </c>
      <c r="R994" t="inlineStr">
        <is>
          <t>txu</t>
        </is>
      </c>
      <c r="S994" t="inlineStr">
        <is>
          <t>Human services monograph series ; monograph #1</t>
        </is>
      </c>
      <c r="T994" t="inlineStr">
        <is>
          <t xml:space="preserve">W  </t>
        </is>
      </c>
      <c r="U994" t="n">
        <v>3</v>
      </c>
      <c r="V994" t="n">
        <v>3</v>
      </c>
      <c r="W994" t="inlineStr">
        <is>
          <t>2001-02-24</t>
        </is>
      </c>
      <c r="X994" t="inlineStr">
        <is>
          <t>2001-02-24</t>
        </is>
      </c>
      <c r="Y994" t="inlineStr">
        <is>
          <t>1988-01-13</t>
        </is>
      </c>
      <c r="Z994" t="inlineStr">
        <is>
          <t>1988-01-13</t>
        </is>
      </c>
      <c r="AA994" t="n">
        <v>90</v>
      </c>
      <c r="AB994" t="n">
        <v>79</v>
      </c>
      <c r="AC994" t="n">
        <v>102</v>
      </c>
      <c r="AD994" t="n">
        <v>1</v>
      </c>
      <c r="AE994" t="n">
        <v>1</v>
      </c>
      <c r="AF994" t="n">
        <v>1</v>
      </c>
      <c r="AG994" t="n">
        <v>2</v>
      </c>
      <c r="AH994" t="n">
        <v>0</v>
      </c>
      <c r="AI994" t="n">
        <v>0</v>
      </c>
      <c r="AJ994" t="n">
        <v>0</v>
      </c>
      <c r="AK994" t="n">
        <v>0</v>
      </c>
      <c r="AL994" t="n">
        <v>1</v>
      </c>
      <c r="AM994" t="n">
        <v>2</v>
      </c>
      <c r="AN994" t="n">
        <v>0</v>
      </c>
      <c r="AO994" t="n">
        <v>0</v>
      </c>
      <c r="AP994" t="n">
        <v>0</v>
      </c>
      <c r="AQ994" t="n">
        <v>0</v>
      </c>
      <c r="AR994" t="inlineStr">
        <is>
          <t>No</t>
        </is>
      </c>
      <c r="AS994" t="inlineStr">
        <is>
          <t>No</t>
        </is>
      </c>
      <c r="AU994">
        <f>HYPERLINK("https://creighton-primo.hosted.exlibrisgroup.com/primo-explore/search?tab=default_tab&amp;search_scope=EVERYTHING&amp;vid=01CRU&amp;lang=en_US&amp;offset=0&amp;query=any,contains,991000663969702656","Catalog Record")</f>
        <v/>
      </c>
      <c r="AV994">
        <f>HYPERLINK("http://www.worldcat.org/oclc/3149778","WorldCat Record")</f>
        <v/>
      </c>
      <c r="AW994" t="inlineStr">
        <is>
          <t>2255878:eng</t>
        </is>
      </c>
      <c r="AX994" t="inlineStr">
        <is>
          <t>3149778</t>
        </is>
      </c>
      <c r="AY994" t="inlineStr">
        <is>
          <t>991000663969702656</t>
        </is>
      </c>
      <c r="AZ994" t="inlineStr">
        <is>
          <t>991000663969702656</t>
        </is>
      </c>
      <c r="BA994" t="inlineStr">
        <is>
          <t>2254783170002656</t>
        </is>
      </c>
      <c r="BB994" t="inlineStr">
        <is>
          <t>BOOK</t>
        </is>
      </c>
      <c r="BE994" t="inlineStr">
        <is>
          <t>30001000689119</t>
        </is>
      </c>
      <c r="BF994" t="inlineStr">
        <is>
          <t>893277873</t>
        </is>
      </c>
    </row>
    <row r="995">
      <c r="A995" t="inlineStr">
        <is>
          <t>No</t>
        </is>
      </c>
      <c r="B995" t="inlineStr">
        <is>
          <t>CUHSL</t>
        </is>
      </c>
      <c r="C995" t="inlineStr">
        <is>
          <t>SHELVES</t>
        </is>
      </c>
      <c r="D995" t="inlineStr">
        <is>
          <t>W 275 AA1 S94m 1989</t>
        </is>
      </c>
      <c r="E995" t="inlineStr">
        <is>
          <t>0                      W  0275000AA 1                  S  94m         1989</t>
        </is>
      </c>
      <c r="F995" t="inlineStr">
        <is>
          <t>The medically uninsured : special focus on workers / Katherine Swartz.</t>
        </is>
      </c>
      <c r="H995" t="inlineStr">
        <is>
          <t>No</t>
        </is>
      </c>
      <c r="I995" t="inlineStr">
        <is>
          <t>1</t>
        </is>
      </c>
      <c r="J995" t="inlineStr">
        <is>
          <t>No</t>
        </is>
      </c>
      <c r="K995" t="inlineStr">
        <is>
          <t>No</t>
        </is>
      </c>
      <c r="L995" t="inlineStr">
        <is>
          <t>0</t>
        </is>
      </c>
      <c r="M995" t="inlineStr">
        <is>
          <t>Swartz, Katherine.</t>
        </is>
      </c>
      <c r="N995" t="inlineStr">
        <is>
          <t>Washington, D.C. : Urban Institute : National Health Policy Forum, George Washington University ; Lanham, MD : Distributed by University Press of America, c1989.</t>
        </is>
      </c>
      <c r="O995" t="inlineStr">
        <is>
          <t>1989</t>
        </is>
      </c>
      <c r="Q995" t="inlineStr">
        <is>
          <t>eng</t>
        </is>
      </c>
      <c r="R995" t="inlineStr">
        <is>
          <t>xxu</t>
        </is>
      </c>
      <c r="T995" t="inlineStr">
        <is>
          <t xml:space="preserve">W  </t>
        </is>
      </c>
      <c r="U995" t="n">
        <v>9</v>
      </c>
      <c r="V995" t="n">
        <v>9</v>
      </c>
      <c r="W995" t="inlineStr">
        <is>
          <t>1996-11-19</t>
        </is>
      </c>
      <c r="X995" t="inlineStr">
        <is>
          <t>1996-11-19</t>
        </is>
      </c>
      <c r="Y995" t="inlineStr">
        <is>
          <t>1990-03-21</t>
        </is>
      </c>
      <c r="Z995" t="inlineStr">
        <is>
          <t>1990-03-21</t>
        </is>
      </c>
      <c r="AA995" t="n">
        <v>150</v>
      </c>
      <c r="AB995" t="n">
        <v>144</v>
      </c>
      <c r="AC995" t="n">
        <v>151</v>
      </c>
      <c r="AD995" t="n">
        <v>1</v>
      </c>
      <c r="AE995" t="n">
        <v>1</v>
      </c>
      <c r="AF995" t="n">
        <v>7</v>
      </c>
      <c r="AG995" t="n">
        <v>7</v>
      </c>
      <c r="AH995" t="n">
        <v>2</v>
      </c>
      <c r="AI995" t="n">
        <v>2</v>
      </c>
      <c r="AJ995" t="n">
        <v>1</v>
      </c>
      <c r="AK995" t="n">
        <v>1</v>
      </c>
      <c r="AL995" t="n">
        <v>1</v>
      </c>
      <c r="AM995" t="n">
        <v>1</v>
      </c>
      <c r="AN995" t="n">
        <v>0</v>
      </c>
      <c r="AO995" t="n">
        <v>0</v>
      </c>
      <c r="AP995" t="n">
        <v>3</v>
      </c>
      <c r="AQ995" t="n">
        <v>3</v>
      </c>
      <c r="AR995" t="inlineStr">
        <is>
          <t>No</t>
        </is>
      </c>
      <c r="AS995" t="inlineStr">
        <is>
          <t>No</t>
        </is>
      </c>
      <c r="AU995">
        <f>HYPERLINK("https://creighton-primo.hosted.exlibrisgroup.com/primo-explore/search?tab=default_tab&amp;search_scope=EVERYTHING&amp;vid=01CRU&amp;lang=en_US&amp;offset=0&amp;query=any,contains,991001381409702656","Catalog Record")</f>
        <v/>
      </c>
      <c r="AV995">
        <f>HYPERLINK("http://www.worldcat.org/oclc/20168817","WorldCat Record")</f>
        <v/>
      </c>
      <c r="AW995" t="inlineStr">
        <is>
          <t>836721530:eng</t>
        </is>
      </c>
      <c r="AX995" t="inlineStr">
        <is>
          <t>20168817</t>
        </is>
      </c>
      <c r="AY995" t="inlineStr">
        <is>
          <t>991001381409702656</t>
        </is>
      </c>
      <c r="AZ995" t="inlineStr">
        <is>
          <t>991001381409702656</t>
        </is>
      </c>
      <c r="BA995" t="inlineStr">
        <is>
          <t>2267042660002656</t>
        </is>
      </c>
      <c r="BB995" t="inlineStr">
        <is>
          <t>BOOK</t>
        </is>
      </c>
      <c r="BD995" t="inlineStr">
        <is>
          <t>9780877664253</t>
        </is>
      </c>
      <c r="BE995" t="inlineStr">
        <is>
          <t>30001001798851</t>
        </is>
      </c>
      <c r="BF995" t="inlineStr">
        <is>
          <t>893369338</t>
        </is>
      </c>
    </row>
    <row r="996">
      <c r="A996" t="inlineStr">
        <is>
          <t>No</t>
        </is>
      </c>
      <c r="B996" t="inlineStr">
        <is>
          <t>CUHSL</t>
        </is>
      </c>
      <c r="C996" t="inlineStr">
        <is>
          <t>SHELVES</t>
        </is>
      </c>
      <c r="D996" t="inlineStr">
        <is>
          <t>W 275 DC2 N21 1974</t>
        </is>
      </c>
      <c r="E996" t="inlineStr">
        <is>
          <t>0                      W  0275000DC 2                  N  21          1974</t>
        </is>
      </c>
      <c r="F996" t="inlineStr">
        <is>
          <t>National health insurance : can we learn from Canada? / edited by Spyros Andreopoulos ; foreword by Philip R. Lee.</t>
        </is>
      </c>
      <c r="H996" t="inlineStr">
        <is>
          <t>No</t>
        </is>
      </c>
      <c r="I996" t="inlineStr">
        <is>
          <t>1</t>
        </is>
      </c>
      <c r="J996" t="inlineStr">
        <is>
          <t>No</t>
        </is>
      </c>
      <c r="K996" t="inlineStr">
        <is>
          <t>No</t>
        </is>
      </c>
      <c r="L996" t="inlineStr">
        <is>
          <t>0</t>
        </is>
      </c>
      <c r="N996" t="inlineStr">
        <is>
          <t>New York : Wiley, c1975.</t>
        </is>
      </c>
      <c r="O996" t="inlineStr">
        <is>
          <t>1975</t>
        </is>
      </c>
      <c r="Q996" t="inlineStr">
        <is>
          <t>eng</t>
        </is>
      </c>
      <c r="R996" t="inlineStr">
        <is>
          <t>nyu</t>
        </is>
      </c>
      <c r="S996" t="inlineStr">
        <is>
          <t>A Wiley-biomedical health publication</t>
        </is>
      </c>
      <c r="T996" t="inlineStr">
        <is>
          <t xml:space="preserve">W  </t>
        </is>
      </c>
      <c r="U996" t="n">
        <v>4</v>
      </c>
      <c r="V996" t="n">
        <v>4</v>
      </c>
      <c r="W996" t="inlineStr">
        <is>
          <t>2002-03-29</t>
        </is>
      </c>
      <c r="X996" t="inlineStr">
        <is>
          <t>2002-03-29</t>
        </is>
      </c>
      <c r="Y996" t="inlineStr">
        <is>
          <t>1987-12-28</t>
        </is>
      </c>
      <c r="Z996" t="inlineStr">
        <is>
          <t>1987-12-28</t>
        </is>
      </c>
      <c r="AA996" t="n">
        <v>440</v>
      </c>
      <c r="AB996" t="n">
        <v>350</v>
      </c>
      <c r="AC996" t="n">
        <v>377</v>
      </c>
      <c r="AD996" t="n">
        <v>3</v>
      </c>
      <c r="AE996" t="n">
        <v>4</v>
      </c>
      <c r="AF996" t="n">
        <v>14</v>
      </c>
      <c r="AG996" t="n">
        <v>15</v>
      </c>
      <c r="AH996" t="n">
        <v>4</v>
      </c>
      <c r="AI996" t="n">
        <v>4</v>
      </c>
      <c r="AJ996" t="n">
        <v>2</v>
      </c>
      <c r="AK996" t="n">
        <v>2</v>
      </c>
      <c r="AL996" t="n">
        <v>7</v>
      </c>
      <c r="AM996" t="n">
        <v>7</v>
      </c>
      <c r="AN996" t="n">
        <v>1</v>
      </c>
      <c r="AO996" t="n">
        <v>2</v>
      </c>
      <c r="AP996" t="n">
        <v>2</v>
      </c>
      <c r="AQ996" t="n">
        <v>2</v>
      </c>
      <c r="AR996" t="inlineStr">
        <is>
          <t>No</t>
        </is>
      </c>
      <c r="AS996" t="inlineStr">
        <is>
          <t>No</t>
        </is>
      </c>
      <c r="AU996">
        <f>HYPERLINK("https://creighton-primo.hosted.exlibrisgroup.com/primo-explore/search?tab=default_tab&amp;search_scope=EVERYTHING&amp;vid=01CRU&amp;lang=en_US&amp;offset=0&amp;query=any,contains,991000664219702656","Catalog Record")</f>
        <v/>
      </c>
      <c r="AV996">
        <f>HYPERLINK("http://www.worldcat.org/oclc/1207298","WorldCat Record")</f>
        <v/>
      </c>
      <c r="AW996" t="inlineStr">
        <is>
          <t>54448324:eng</t>
        </is>
      </c>
      <c r="AX996" t="inlineStr">
        <is>
          <t>1207298</t>
        </is>
      </c>
      <c r="AY996" t="inlineStr">
        <is>
          <t>991000664219702656</t>
        </is>
      </c>
      <c r="AZ996" t="inlineStr">
        <is>
          <t>991000664219702656</t>
        </is>
      </c>
      <c r="BA996" t="inlineStr">
        <is>
          <t>2269289440002656</t>
        </is>
      </c>
      <c r="BB996" t="inlineStr">
        <is>
          <t>BOOK</t>
        </is>
      </c>
      <c r="BD996" t="inlineStr">
        <is>
          <t>9780471029250</t>
        </is>
      </c>
      <c r="BE996" t="inlineStr">
        <is>
          <t>30001000689226</t>
        </is>
      </c>
      <c r="BF996" t="inlineStr">
        <is>
          <t>893373372</t>
        </is>
      </c>
    </row>
    <row r="997">
      <c r="A997" t="inlineStr">
        <is>
          <t>No</t>
        </is>
      </c>
      <c r="B997" t="inlineStr">
        <is>
          <t>CUHSL</t>
        </is>
      </c>
      <c r="C997" t="inlineStr">
        <is>
          <t>SHELVES</t>
        </is>
      </c>
      <c r="D997" t="inlineStr">
        <is>
          <t>W 275 I34 1992</t>
        </is>
      </c>
      <c r="E997" t="inlineStr">
        <is>
          <t>0                      W  0275000I  34          1992</t>
        </is>
      </c>
      <c r="F997" t="inlineStr">
        <is>
          <t>Implementation issues and national health care reform : proceedings of a conference / edited by Charles Brecher ; sponsored by the Robert F. Wagner Graduate School of Public Service, New York University with support from the Josiah Macy, Jr. Foundation.</t>
        </is>
      </c>
      <c r="H997" t="inlineStr">
        <is>
          <t>No</t>
        </is>
      </c>
      <c r="I997" t="inlineStr">
        <is>
          <t>1</t>
        </is>
      </c>
      <c r="J997" t="inlineStr">
        <is>
          <t>No</t>
        </is>
      </c>
      <c r="K997" t="inlineStr">
        <is>
          <t>No</t>
        </is>
      </c>
      <c r="L997" t="inlineStr">
        <is>
          <t>0</t>
        </is>
      </c>
      <c r="N997" t="inlineStr">
        <is>
          <t>Washington, DC : Josiah Macy, Jr. Foundation, 1992.</t>
        </is>
      </c>
      <c r="O997" t="inlineStr">
        <is>
          <t>1992</t>
        </is>
      </c>
      <c r="Q997" t="inlineStr">
        <is>
          <t>eng</t>
        </is>
      </c>
      <c r="R997" t="inlineStr">
        <is>
          <t>dcu</t>
        </is>
      </c>
      <c r="T997" t="inlineStr">
        <is>
          <t xml:space="preserve">W  </t>
        </is>
      </c>
      <c r="U997" t="n">
        <v>18</v>
      </c>
      <c r="V997" t="n">
        <v>18</v>
      </c>
      <c r="W997" t="inlineStr">
        <is>
          <t>1996-10-11</t>
        </is>
      </c>
      <c r="X997" t="inlineStr">
        <is>
          <t>1996-10-11</t>
        </is>
      </c>
      <c r="Y997" t="inlineStr">
        <is>
          <t>1992-10-28</t>
        </is>
      </c>
      <c r="Z997" t="inlineStr">
        <is>
          <t>1992-10-28</t>
        </is>
      </c>
      <c r="AA997" t="n">
        <v>110</v>
      </c>
      <c r="AB997" t="n">
        <v>108</v>
      </c>
      <c r="AC997" t="n">
        <v>110</v>
      </c>
      <c r="AD997" t="n">
        <v>1</v>
      </c>
      <c r="AE997" t="n">
        <v>1</v>
      </c>
      <c r="AF997" t="n">
        <v>2</v>
      </c>
      <c r="AG997" t="n">
        <v>2</v>
      </c>
      <c r="AH997" t="n">
        <v>0</v>
      </c>
      <c r="AI997" t="n">
        <v>0</v>
      </c>
      <c r="AJ997" t="n">
        <v>0</v>
      </c>
      <c r="AK997" t="n">
        <v>0</v>
      </c>
      <c r="AL997" t="n">
        <v>2</v>
      </c>
      <c r="AM997" t="n">
        <v>2</v>
      </c>
      <c r="AN997" t="n">
        <v>0</v>
      </c>
      <c r="AO997" t="n">
        <v>0</v>
      </c>
      <c r="AP997" t="n">
        <v>0</v>
      </c>
      <c r="AQ997" t="n">
        <v>0</v>
      </c>
      <c r="AR997" t="inlineStr">
        <is>
          <t>No</t>
        </is>
      </c>
      <c r="AS997" t="inlineStr">
        <is>
          <t>Yes</t>
        </is>
      </c>
      <c r="AT997">
        <f>HYPERLINK("http://catalog.hathitrust.org/Record/002630633","HathiTrust Record")</f>
        <v/>
      </c>
      <c r="AU997">
        <f>HYPERLINK("https://creighton-primo.hosted.exlibrisgroup.com/primo-explore/search?tab=default_tab&amp;search_scope=EVERYTHING&amp;vid=01CRU&amp;lang=en_US&amp;offset=0&amp;query=any,contains,991001346379702656","Catalog Record")</f>
        <v/>
      </c>
      <c r="AV997">
        <f>HYPERLINK("http://www.worldcat.org/oclc/26702460","WorldCat Record")</f>
        <v/>
      </c>
      <c r="AW997" t="inlineStr">
        <is>
          <t>29163485:eng</t>
        </is>
      </c>
      <c r="AX997" t="inlineStr">
        <is>
          <t>26702460</t>
        </is>
      </c>
      <c r="AY997" t="inlineStr">
        <is>
          <t>991001346379702656</t>
        </is>
      </c>
      <c r="AZ997" t="inlineStr">
        <is>
          <t>991001346379702656</t>
        </is>
      </c>
      <c r="BA997" t="inlineStr">
        <is>
          <t>2264395970002656</t>
        </is>
      </c>
      <c r="BB997" t="inlineStr">
        <is>
          <t>BOOK</t>
        </is>
      </c>
      <c r="BE997" t="inlineStr">
        <is>
          <t>30001002457366</t>
        </is>
      </c>
      <c r="BF997" t="inlineStr">
        <is>
          <t>893741055</t>
        </is>
      </c>
    </row>
    <row r="998">
      <c r="A998" t="inlineStr">
        <is>
          <t>No</t>
        </is>
      </c>
      <c r="B998" t="inlineStr">
        <is>
          <t>CUHSL</t>
        </is>
      </c>
      <c r="C998" t="inlineStr">
        <is>
          <t>SHELVES</t>
        </is>
      </c>
      <c r="D998" t="inlineStr">
        <is>
          <t>W 275 R324h 1972</t>
        </is>
      </c>
      <c r="E998" t="inlineStr">
        <is>
          <t>0                      W  0275000R  324h        1972</t>
        </is>
      </c>
      <c r="F998" t="inlineStr">
        <is>
          <t>Health insurance and psychiatric care : utilization and cost / Louis S. Reed, Evelyn S. Myers, Patricia L. Scheidemandel ; foreword by Walter E. Barton.</t>
        </is>
      </c>
      <c r="H998" t="inlineStr">
        <is>
          <t>No</t>
        </is>
      </c>
      <c r="I998" t="inlineStr">
        <is>
          <t>1</t>
        </is>
      </c>
      <c r="J998" t="inlineStr">
        <is>
          <t>No</t>
        </is>
      </c>
      <c r="K998" t="inlineStr">
        <is>
          <t>No</t>
        </is>
      </c>
      <c r="L998" t="inlineStr">
        <is>
          <t>0</t>
        </is>
      </c>
      <c r="M998" t="inlineStr">
        <is>
          <t>Reed, Louis S., 1902-1975.</t>
        </is>
      </c>
      <c r="N998" t="inlineStr">
        <is>
          <t>Washington : American Psychiatric Association, c1972.</t>
        </is>
      </c>
      <c r="O998" t="inlineStr">
        <is>
          <t>1972</t>
        </is>
      </c>
      <c r="Q998" t="inlineStr">
        <is>
          <t>eng</t>
        </is>
      </c>
      <c r="R998" t="inlineStr">
        <is>
          <t>dcu</t>
        </is>
      </c>
      <c r="T998" t="inlineStr">
        <is>
          <t xml:space="preserve">W  </t>
        </is>
      </c>
      <c r="U998" t="n">
        <v>3</v>
      </c>
      <c r="V998" t="n">
        <v>3</v>
      </c>
      <c r="W998" t="inlineStr">
        <is>
          <t>2002-04-04</t>
        </is>
      </c>
      <c r="X998" t="inlineStr">
        <is>
          <t>2002-04-04</t>
        </is>
      </c>
      <c r="Y998" t="inlineStr">
        <is>
          <t>1987-12-28</t>
        </is>
      </c>
      <c r="Z998" t="inlineStr">
        <is>
          <t>1987-12-28</t>
        </is>
      </c>
      <c r="AA998" t="n">
        <v>174</v>
      </c>
      <c r="AB998" t="n">
        <v>160</v>
      </c>
      <c r="AC998" t="n">
        <v>163</v>
      </c>
      <c r="AD998" t="n">
        <v>2</v>
      </c>
      <c r="AE998" t="n">
        <v>2</v>
      </c>
      <c r="AF998" t="n">
        <v>4</v>
      </c>
      <c r="AG998" t="n">
        <v>4</v>
      </c>
      <c r="AH998" t="n">
        <v>1</v>
      </c>
      <c r="AI998" t="n">
        <v>1</v>
      </c>
      <c r="AJ998" t="n">
        <v>0</v>
      </c>
      <c r="AK998" t="n">
        <v>0</v>
      </c>
      <c r="AL998" t="n">
        <v>2</v>
      </c>
      <c r="AM998" t="n">
        <v>2</v>
      </c>
      <c r="AN998" t="n">
        <v>1</v>
      </c>
      <c r="AO998" t="n">
        <v>1</v>
      </c>
      <c r="AP998" t="n">
        <v>0</v>
      </c>
      <c r="AQ998" t="n">
        <v>0</v>
      </c>
      <c r="AR998" t="inlineStr">
        <is>
          <t>No</t>
        </is>
      </c>
      <c r="AS998" t="inlineStr">
        <is>
          <t>Yes</t>
        </is>
      </c>
      <c r="AT998">
        <f>HYPERLINK("http://catalog.hathitrust.org/Record/001129321","HathiTrust Record")</f>
        <v/>
      </c>
      <c r="AU998">
        <f>HYPERLINK("https://creighton-primo.hosted.exlibrisgroup.com/primo-explore/search?tab=default_tab&amp;search_scope=EVERYTHING&amp;vid=01CRU&amp;lang=en_US&amp;offset=0&amp;query=any,contains,991000664319702656","Catalog Record")</f>
        <v/>
      </c>
      <c r="AV998">
        <f>HYPERLINK("http://www.worldcat.org/oclc/415595","WorldCat Record")</f>
        <v/>
      </c>
      <c r="AW998" t="inlineStr">
        <is>
          <t>1476102:eng</t>
        </is>
      </c>
      <c r="AX998" t="inlineStr">
        <is>
          <t>415595</t>
        </is>
      </c>
      <c r="AY998" t="inlineStr">
        <is>
          <t>991000664319702656</t>
        </is>
      </c>
      <c r="AZ998" t="inlineStr">
        <is>
          <t>991000664319702656</t>
        </is>
      </c>
      <c r="BA998" t="inlineStr">
        <is>
          <t>2266878120002656</t>
        </is>
      </c>
      <c r="BB998" t="inlineStr">
        <is>
          <t>BOOK</t>
        </is>
      </c>
      <c r="BE998" t="inlineStr">
        <is>
          <t>30001000689275</t>
        </is>
      </c>
      <c r="BF998" t="inlineStr">
        <is>
          <t>893277874</t>
        </is>
      </c>
    </row>
    <row r="999">
      <c r="A999" t="inlineStr">
        <is>
          <t>No</t>
        </is>
      </c>
      <c r="B999" t="inlineStr">
        <is>
          <t>CUHSL</t>
        </is>
      </c>
      <c r="C999" t="inlineStr">
        <is>
          <t>SHELVES</t>
        </is>
      </c>
      <c r="D999" t="inlineStr">
        <is>
          <t>W 322 B411h 2006</t>
        </is>
      </c>
      <c r="E999" t="inlineStr">
        <is>
          <t>0                      W  0322000B  411h        2006</t>
        </is>
      </c>
      <c r="F999" t="inlineStr">
        <is>
          <t>Hospital social work : the interface of medicine and caring / Joan Beder.</t>
        </is>
      </c>
      <c r="H999" t="inlineStr">
        <is>
          <t>No</t>
        </is>
      </c>
      <c r="I999" t="inlineStr">
        <is>
          <t>1</t>
        </is>
      </c>
      <c r="J999" t="inlineStr">
        <is>
          <t>No</t>
        </is>
      </c>
      <c r="K999" t="inlineStr">
        <is>
          <t>No</t>
        </is>
      </c>
      <c r="L999" t="inlineStr">
        <is>
          <t>0</t>
        </is>
      </c>
      <c r="M999" t="inlineStr">
        <is>
          <t>Beder, Joan, 1944-</t>
        </is>
      </c>
      <c r="N999" t="inlineStr">
        <is>
          <t>New York : Routledge, 2006.</t>
        </is>
      </c>
      <c r="O999" t="inlineStr">
        <is>
          <t>2006</t>
        </is>
      </c>
      <c r="Q999" t="inlineStr">
        <is>
          <t>eng</t>
        </is>
      </c>
      <c r="R999" t="inlineStr">
        <is>
          <t>nyu</t>
        </is>
      </c>
      <c r="T999" t="inlineStr">
        <is>
          <t xml:space="preserve">W  </t>
        </is>
      </c>
      <c r="U999" t="n">
        <v>0</v>
      </c>
      <c r="V999" t="n">
        <v>0</v>
      </c>
      <c r="W999" t="inlineStr">
        <is>
          <t>2007-01-29</t>
        </is>
      </c>
      <c r="X999" t="inlineStr">
        <is>
          <t>2007-01-29</t>
        </is>
      </c>
      <c r="Y999" t="inlineStr">
        <is>
          <t>2007-01-17</t>
        </is>
      </c>
      <c r="Z999" t="inlineStr">
        <is>
          <t>2007-01-17</t>
        </is>
      </c>
      <c r="AA999" t="n">
        <v>305</v>
      </c>
      <c r="AB999" t="n">
        <v>208</v>
      </c>
      <c r="AC999" t="n">
        <v>252</v>
      </c>
      <c r="AD999" t="n">
        <v>3</v>
      </c>
      <c r="AE999" t="n">
        <v>3</v>
      </c>
      <c r="AF999" t="n">
        <v>9</v>
      </c>
      <c r="AG999" t="n">
        <v>11</v>
      </c>
      <c r="AH999" t="n">
        <v>1</v>
      </c>
      <c r="AI999" t="n">
        <v>1</v>
      </c>
      <c r="AJ999" t="n">
        <v>3</v>
      </c>
      <c r="AK999" t="n">
        <v>3</v>
      </c>
      <c r="AL999" t="n">
        <v>5</v>
      </c>
      <c r="AM999" t="n">
        <v>7</v>
      </c>
      <c r="AN999" t="n">
        <v>2</v>
      </c>
      <c r="AO999" t="n">
        <v>2</v>
      </c>
      <c r="AP999" t="n">
        <v>0</v>
      </c>
      <c r="AQ999" t="n">
        <v>0</v>
      </c>
      <c r="AR999" t="inlineStr">
        <is>
          <t>No</t>
        </is>
      </c>
      <c r="AS999" t="inlineStr">
        <is>
          <t>No</t>
        </is>
      </c>
      <c r="AU999">
        <f>HYPERLINK("https://creighton-primo.hosted.exlibrisgroup.com/primo-explore/search?tab=default_tab&amp;search_scope=EVERYTHING&amp;vid=01CRU&amp;lang=en_US&amp;offset=0&amp;query=any,contains,991000582199702656","Catalog Record")</f>
        <v/>
      </c>
      <c r="AV999">
        <f>HYPERLINK("http://www.worldcat.org/oclc/60705560","WorldCat Record")</f>
        <v/>
      </c>
      <c r="AW999" t="inlineStr">
        <is>
          <t>800854688:eng</t>
        </is>
      </c>
      <c r="AX999" t="inlineStr">
        <is>
          <t>60705560</t>
        </is>
      </c>
      <c r="AY999" t="inlineStr">
        <is>
          <t>991000582199702656</t>
        </is>
      </c>
      <c r="AZ999" t="inlineStr">
        <is>
          <t>991000582199702656</t>
        </is>
      </c>
      <c r="BA999" t="inlineStr">
        <is>
          <t>2265329660002656</t>
        </is>
      </c>
      <c r="BB999" t="inlineStr">
        <is>
          <t>BOOK</t>
        </is>
      </c>
      <c r="BD999" t="inlineStr">
        <is>
          <t>9780415950671</t>
        </is>
      </c>
      <c r="BE999" t="inlineStr">
        <is>
          <t>30001005175395</t>
        </is>
      </c>
      <c r="BF999" t="inlineStr">
        <is>
          <t>893159205</t>
        </is>
      </c>
    </row>
    <row r="1000">
      <c r="A1000" t="inlineStr">
        <is>
          <t>No</t>
        </is>
      </c>
      <c r="B1000" t="inlineStr">
        <is>
          <t>CUHSL</t>
        </is>
      </c>
      <c r="C1000" t="inlineStr">
        <is>
          <t>SHELVES</t>
        </is>
      </c>
      <c r="D1000" t="inlineStr">
        <is>
          <t>W 322 B796s 1978</t>
        </is>
      </c>
      <c r="E1000" t="inlineStr">
        <is>
          <t>0                      W  0322000B  796s        1978</t>
        </is>
      </c>
      <c r="F1000" t="inlineStr">
        <is>
          <t>Social work in health care : a guide to professional practice / written and edited by Neil F. Bracht.</t>
        </is>
      </c>
      <c r="H1000" t="inlineStr">
        <is>
          <t>No</t>
        </is>
      </c>
      <c r="I1000" t="inlineStr">
        <is>
          <t>1</t>
        </is>
      </c>
      <c r="J1000" t="inlineStr">
        <is>
          <t>No</t>
        </is>
      </c>
      <c r="K1000" t="inlineStr">
        <is>
          <t>No</t>
        </is>
      </c>
      <c r="L1000" t="inlineStr">
        <is>
          <t>0</t>
        </is>
      </c>
      <c r="M1000" t="inlineStr">
        <is>
          <t>Bracht, Neil F.</t>
        </is>
      </c>
      <c r="N1000" t="inlineStr">
        <is>
          <t>New York : Haworth Press, c1978.</t>
        </is>
      </c>
      <c r="O1000" t="inlineStr">
        <is>
          <t>1978</t>
        </is>
      </c>
      <c r="Q1000" t="inlineStr">
        <is>
          <t>eng</t>
        </is>
      </c>
      <c r="R1000" t="inlineStr">
        <is>
          <t>nyu</t>
        </is>
      </c>
      <c r="T1000" t="inlineStr">
        <is>
          <t xml:space="preserve">W  </t>
        </is>
      </c>
      <c r="U1000" t="n">
        <v>1</v>
      </c>
      <c r="V1000" t="n">
        <v>1</v>
      </c>
      <c r="W1000" t="inlineStr">
        <is>
          <t>2004-09-09</t>
        </is>
      </c>
      <c r="X1000" t="inlineStr">
        <is>
          <t>2004-09-09</t>
        </is>
      </c>
      <c r="Y1000" t="inlineStr">
        <is>
          <t>1987-12-28</t>
        </is>
      </c>
      <c r="Z1000" t="inlineStr">
        <is>
          <t>1987-12-28</t>
        </is>
      </c>
      <c r="AA1000" t="n">
        <v>393</v>
      </c>
      <c r="AB1000" t="n">
        <v>332</v>
      </c>
      <c r="AC1000" t="n">
        <v>526</v>
      </c>
      <c r="AD1000" t="n">
        <v>1</v>
      </c>
      <c r="AE1000" t="n">
        <v>3</v>
      </c>
      <c r="AF1000" t="n">
        <v>9</v>
      </c>
      <c r="AG1000" t="n">
        <v>18</v>
      </c>
      <c r="AH1000" t="n">
        <v>4</v>
      </c>
      <c r="AI1000" t="n">
        <v>9</v>
      </c>
      <c r="AJ1000" t="n">
        <v>2</v>
      </c>
      <c r="AK1000" t="n">
        <v>3</v>
      </c>
      <c r="AL1000" t="n">
        <v>4</v>
      </c>
      <c r="AM1000" t="n">
        <v>6</v>
      </c>
      <c r="AN1000" t="n">
        <v>0</v>
      </c>
      <c r="AO1000" t="n">
        <v>2</v>
      </c>
      <c r="AP1000" t="n">
        <v>0</v>
      </c>
      <c r="AQ1000" t="n">
        <v>0</v>
      </c>
      <c r="AR1000" t="inlineStr">
        <is>
          <t>No</t>
        </is>
      </c>
      <c r="AS1000" t="inlineStr">
        <is>
          <t>Yes</t>
        </is>
      </c>
      <c r="AT1000">
        <f>HYPERLINK("http://catalog.hathitrust.org/Record/000042695","HathiTrust Record")</f>
        <v/>
      </c>
      <c r="AU1000">
        <f>HYPERLINK("https://creighton-primo.hosted.exlibrisgroup.com/primo-explore/search?tab=default_tab&amp;search_scope=EVERYTHING&amp;vid=01CRU&amp;lang=en_US&amp;offset=0&amp;query=any,contains,991000664389702656","Catalog Record")</f>
        <v/>
      </c>
      <c r="AV1000">
        <f>HYPERLINK("http://www.worldcat.org/oclc/3869819","WorldCat Record")</f>
        <v/>
      </c>
      <c r="AW1000" t="inlineStr">
        <is>
          <t>380603235:eng</t>
        </is>
      </c>
      <c r="AX1000" t="inlineStr">
        <is>
          <t>3869819</t>
        </is>
      </c>
      <c r="AY1000" t="inlineStr">
        <is>
          <t>991000664389702656</t>
        </is>
      </c>
      <c r="AZ1000" t="inlineStr">
        <is>
          <t>991000664389702656</t>
        </is>
      </c>
      <c r="BA1000" t="inlineStr">
        <is>
          <t>2262856420002656</t>
        </is>
      </c>
      <c r="BB1000" t="inlineStr">
        <is>
          <t>BOOK</t>
        </is>
      </c>
      <c r="BD1000" t="inlineStr">
        <is>
          <t>9780917724046</t>
        </is>
      </c>
      <c r="BE1000" t="inlineStr">
        <is>
          <t>30001000689317</t>
        </is>
      </c>
      <c r="BF1000" t="inlineStr">
        <is>
          <t>893459592</t>
        </is>
      </c>
    </row>
    <row r="1001">
      <c r="A1001" t="inlineStr">
        <is>
          <t>No</t>
        </is>
      </c>
      <c r="B1001" t="inlineStr">
        <is>
          <t>CUHSL</t>
        </is>
      </c>
      <c r="C1001" t="inlineStr">
        <is>
          <t>SHELVES</t>
        </is>
      </c>
      <c r="D1001" t="inlineStr">
        <is>
          <t>W 322 D535sd 1997</t>
        </is>
      </c>
      <c r="E1001" t="inlineStr">
        <is>
          <t>0                      W  0322000D  535sd       1997</t>
        </is>
      </c>
      <c r="F1001" t="inlineStr">
        <is>
          <t>Social work in health care in the 21st century / Surjit Singh Dhooper.</t>
        </is>
      </c>
      <c r="H1001" t="inlineStr">
        <is>
          <t>No</t>
        </is>
      </c>
      <c r="I1001" t="inlineStr">
        <is>
          <t>1</t>
        </is>
      </c>
      <c r="J1001" t="inlineStr">
        <is>
          <t>No</t>
        </is>
      </c>
      <c r="K1001" t="inlineStr">
        <is>
          <t>No</t>
        </is>
      </c>
      <c r="L1001" t="inlineStr">
        <is>
          <t>0</t>
        </is>
      </c>
      <c r="M1001" t="inlineStr">
        <is>
          <t>Dhooper, Surjit Singh.</t>
        </is>
      </c>
      <c r="N1001" t="inlineStr">
        <is>
          <t>Thousand Oaks : Sage Publications, c1997.</t>
        </is>
      </c>
      <c r="O1001" t="inlineStr">
        <is>
          <t>1997</t>
        </is>
      </c>
      <c r="Q1001" t="inlineStr">
        <is>
          <t>eng</t>
        </is>
      </c>
      <c r="R1001" t="inlineStr">
        <is>
          <t>cau</t>
        </is>
      </c>
      <c r="S1001" t="inlineStr">
        <is>
          <t>Sage sourcebooks for the human services series ; v. 33</t>
        </is>
      </c>
      <c r="T1001" t="inlineStr">
        <is>
          <t xml:space="preserve">W  </t>
        </is>
      </c>
      <c r="U1001" t="n">
        <v>1</v>
      </c>
      <c r="V1001" t="n">
        <v>1</v>
      </c>
      <c r="W1001" t="inlineStr">
        <is>
          <t>2004-09-09</t>
        </is>
      </c>
      <c r="X1001" t="inlineStr">
        <is>
          <t>2004-09-09</t>
        </is>
      </c>
      <c r="Y1001" t="inlineStr">
        <is>
          <t>2003-10-17</t>
        </is>
      </c>
      <c r="Z1001" t="inlineStr">
        <is>
          <t>2003-10-17</t>
        </is>
      </c>
      <c r="AA1001" t="n">
        <v>339</v>
      </c>
      <c r="AB1001" t="n">
        <v>272</v>
      </c>
      <c r="AC1001" t="n">
        <v>278</v>
      </c>
      <c r="AD1001" t="n">
        <v>3</v>
      </c>
      <c r="AE1001" t="n">
        <v>3</v>
      </c>
      <c r="AF1001" t="n">
        <v>16</v>
      </c>
      <c r="AG1001" t="n">
        <v>16</v>
      </c>
      <c r="AH1001" t="n">
        <v>4</v>
      </c>
      <c r="AI1001" t="n">
        <v>4</v>
      </c>
      <c r="AJ1001" t="n">
        <v>4</v>
      </c>
      <c r="AK1001" t="n">
        <v>4</v>
      </c>
      <c r="AL1001" t="n">
        <v>9</v>
      </c>
      <c r="AM1001" t="n">
        <v>9</v>
      </c>
      <c r="AN1001" t="n">
        <v>2</v>
      </c>
      <c r="AO1001" t="n">
        <v>2</v>
      </c>
      <c r="AP1001" t="n">
        <v>0</v>
      </c>
      <c r="AQ1001" t="n">
        <v>0</v>
      </c>
      <c r="AR1001" t="inlineStr">
        <is>
          <t>No</t>
        </is>
      </c>
      <c r="AS1001" t="inlineStr">
        <is>
          <t>Yes</t>
        </is>
      </c>
      <c r="AT1001">
        <f>HYPERLINK("http://catalog.hathitrust.org/Record/003135818","HathiTrust Record")</f>
        <v/>
      </c>
      <c r="AU1001">
        <f>HYPERLINK("https://creighton-primo.hosted.exlibrisgroup.com/primo-explore/search?tab=default_tab&amp;search_scope=EVERYTHING&amp;vid=01CRU&amp;lang=en_US&amp;offset=0&amp;query=any,contains,991000359119702656","Catalog Record")</f>
        <v/>
      </c>
      <c r="AV1001">
        <f>HYPERLINK("http://www.worldcat.org/oclc/35657988","WorldCat Record")</f>
        <v/>
      </c>
      <c r="AW1001" t="inlineStr">
        <is>
          <t>40157723:eng</t>
        </is>
      </c>
      <c r="AX1001" t="inlineStr">
        <is>
          <t>35657988</t>
        </is>
      </c>
      <c r="AY1001" t="inlineStr">
        <is>
          <t>991000359119702656</t>
        </is>
      </c>
      <c r="AZ1001" t="inlineStr">
        <is>
          <t>991000359119702656</t>
        </is>
      </c>
      <c r="BA1001" t="inlineStr">
        <is>
          <t>2256880420002656</t>
        </is>
      </c>
      <c r="BB1001" t="inlineStr">
        <is>
          <t>BOOK</t>
        </is>
      </c>
      <c r="BD1001" t="inlineStr">
        <is>
          <t>9780803959323</t>
        </is>
      </c>
      <c r="BE1001" t="inlineStr">
        <is>
          <t>30001004218105</t>
        </is>
      </c>
      <c r="BF1001" t="inlineStr">
        <is>
          <t>893639116</t>
        </is>
      </c>
    </row>
    <row r="1002">
      <c r="A1002" t="inlineStr">
        <is>
          <t>No</t>
        </is>
      </c>
      <c r="B1002" t="inlineStr">
        <is>
          <t>CUHSL</t>
        </is>
      </c>
      <c r="C1002" t="inlineStr">
        <is>
          <t>SHELVES</t>
        </is>
      </c>
      <c r="D1002" t="inlineStr">
        <is>
          <t>W 322 L966m 1994</t>
        </is>
      </c>
      <c r="E1002" t="inlineStr">
        <is>
          <t>0                      W  0322000L  966m        1994</t>
        </is>
      </c>
      <c r="F1002" t="inlineStr">
        <is>
          <t>Medicine as culture : illness, disease and the body in western societies / Deborah Lupton.</t>
        </is>
      </c>
      <c r="H1002" t="inlineStr">
        <is>
          <t>No</t>
        </is>
      </c>
      <c r="I1002" t="inlineStr">
        <is>
          <t>1</t>
        </is>
      </c>
      <c r="J1002" t="inlineStr">
        <is>
          <t>No</t>
        </is>
      </c>
      <c r="K1002" t="inlineStr">
        <is>
          <t>No</t>
        </is>
      </c>
      <c r="L1002" t="inlineStr">
        <is>
          <t>0</t>
        </is>
      </c>
      <c r="M1002" t="inlineStr">
        <is>
          <t>Lupton, Deborah.</t>
        </is>
      </c>
      <c r="N1002" t="inlineStr">
        <is>
          <t>London ; Thousand Oaks : Sage, c1994.</t>
        </is>
      </c>
      <c r="O1002" t="inlineStr">
        <is>
          <t>1994</t>
        </is>
      </c>
      <c r="Q1002" t="inlineStr">
        <is>
          <t>eng</t>
        </is>
      </c>
      <c r="R1002" t="inlineStr">
        <is>
          <t>enk</t>
        </is>
      </c>
      <c r="T1002" t="inlineStr">
        <is>
          <t xml:space="preserve">W  </t>
        </is>
      </c>
      <c r="U1002" t="n">
        <v>14</v>
      </c>
      <c r="V1002" t="n">
        <v>14</v>
      </c>
      <c r="W1002" t="inlineStr">
        <is>
          <t>2006-10-10</t>
        </is>
      </c>
      <c r="X1002" t="inlineStr">
        <is>
          <t>2006-10-10</t>
        </is>
      </c>
      <c r="Y1002" t="inlineStr">
        <is>
          <t>1994-09-12</t>
        </is>
      </c>
      <c r="Z1002" t="inlineStr">
        <is>
          <t>1994-09-12</t>
        </is>
      </c>
      <c r="AA1002" t="n">
        <v>397</v>
      </c>
      <c r="AB1002" t="n">
        <v>223</v>
      </c>
      <c r="AC1002" t="n">
        <v>966</v>
      </c>
      <c r="AD1002" t="n">
        <v>1</v>
      </c>
      <c r="AE1002" t="n">
        <v>7</v>
      </c>
      <c r="AF1002" t="n">
        <v>12</v>
      </c>
      <c r="AG1002" t="n">
        <v>30</v>
      </c>
      <c r="AH1002" t="n">
        <v>3</v>
      </c>
      <c r="AI1002" t="n">
        <v>9</v>
      </c>
      <c r="AJ1002" t="n">
        <v>5</v>
      </c>
      <c r="AK1002" t="n">
        <v>8</v>
      </c>
      <c r="AL1002" t="n">
        <v>8</v>
      </c>
      <c r="AM1002" t="n">
        <v>14</v>
      </c>
      <c r="AN1002" t="n">
        <v>0</v>
      </c>
      <c r="AO1002" t="n">
        <v>6</v>
      </c>
      <c r="AP1002" t="n">
        <v>0</v>
      </c>
      <c r="AQ1002" t="n">
        <v>0</v>
      </c>
      <c r="AR1002" t="inlineStr">
        <is>
          <t>No</t>
        </is>
      </c>
      <c r="AS1002" t="inlineStr">
        <is>
          <t>Yes</t>
        </is>
      </c>
      <c r="AT1002">
        <f>HYPERLINK("http://catalog.hathitrust.org/Record/002873462","HathiTrust Record")</f>
        <v/>
      </c>
      <c r="AU1002">
        <f>HYPERLINK("https://creighton-primo.hosted.exlibrisgroup.com/primo-explore/search?tab=default_tab&amp;search_scope=EVERYTHING&amp;vid=01CRU&amp;lang=en_US&amp;offset=0&amp;query=any,contains,991000678299702656","Catalog Record")</f>
        <v/>
      </c>
      <c r="AV1002">
        <f>HYPERLINK("http://www.worldcat.org/oclc/30475941","WorldCat Record")</f>
        <v/>
      </c>
      <c r="AW1002" t="inlineStr">
        <is>
          <t>793947530:eng</t>
        </is>
      </c>
      <c r="AX1002" t="inlineStr">
        <is>
          <t>30475941</t>
        </is>
      </c>
      <c r="AY1002" t="inlineStr">
        <is>
          <t>991000678299702656</t>
        </is>
      </c>
      <c r="AZ1002" t="inlineStr">
        <is>
          <t>991000678299702656</t>
        </is>
      </c>
      <c r="BA1002" t="inlineStr">
        <is>
          <t>2263523190002656</t>
        </is>
      </c>
      <c r="BB1002" t="inlineStr">
        <is>
          <t>BOOK</t>
        </is>
      </c>
      <c r="BD1002" t="inlineStr">
        <is>
          <t>9780803989252</t>
        </is>
      </c>
      <c r="BE1002" t="inlineStr">
        <is>
          <t>30001002696930</t>
        </is>
      </c>
      <c r="BF1002" t="inlineStr">
        <is>
          <t>893119996</t>
        </is>
      </c>
    </row>
    <row r="1003">
      <c r="A1003" t="inlineStr">
        <is>
          <t>No</t>
        </is>
      </c>
      <c r="B1003" t="inlineStr">
        <is>
          <t>CUHSL</t>
        </is>
      </c>
      <c r="C1003" t="inlineStr">
        <is>
          <t>SHELVES</t>
        </is>
      </c>
      <c r="D1003" t="inlineStr">
        <is>
          <t>W 322 S6783 1984</t>
        </is>
      </c>
      <c r="E1003" t="inlineStr">
        <is>
          <t>0                      W  0322000S  6783        1984</t>
        </is>
      </c>
      <c r="F1003" t="inlineStr">
        <is>
          <t>Social work administration in health care / edited by Abraham Lurie, Gary Rosenberg.</t>
        </is>
      </c>
      <c r="H1003" t="inlineStr">
        <is>
          <t>No</t>
        </is>
      </c>
      <c r="I1003" t="inlineStr">
        <is>
          <t>1</t>
        </is>
      </c>
      <c r="J1003" t="inlineStr">
        <is>
          <t>No</t>
        </is>
      </c>
      <c r="K1003" t="inlineStr">
        <is>
          <t>No</t>
        </is>
      </c>
      <c r="L1003" t="inlineStr">
        <is>
          <t>0</t>
        </is>
      </c>
      <c r="N1003" t="inlineStr">
        <is>
          <t>New York, N.Y. : Haworth Press, c1984.</t>
        </is>
      </c>
      <c r="O1003" t="inlineStr">
        <is>
          <t>1984</t>
        </is>
      </c>
      <c r="Q1003" t="inlineStr">
        <is>
          <t>eng</t>
        </is>
      </c>
      <c r="R1003" t="inlineStr">
        <is>
          <t>nyu</t>
        </is>
      </c>
      <c r="T1003" t="inlineStr">
        <is>
          <t xml:space="preserve">W  </t>
        </is>
      </c>
      <c r="U1003" t="n">
        <v>1</v>
      </c>
      <c r="V1003" t="n">
        <v>1</v>
      </c>
      <c r="W1003" t="inlineStr">
        <is>
          <t>2004-09-09</t>
        </is>
      </c>
      <c r="X1003" t="inlineStr">
        <is>
          <t>2004-09-09</t>
        </is>
      </c>
      <c r="Y1003" t="inlineStr">
        <is>
          <t>1987-12-28</t>
        </is>
      </c>
      <c r="Z1003" t="inlineStr">
        <is>
          <t>1987-12-28</t>
        </is>
      </c>
      <c r="AA1003" t="n">
        <v>276</v>
      </c>
      <c r="AB1003" t="n">
        <v>227</v>
      </c>
      <c r="AC1003" t="n">
        <v>440</v>
      </c>
      <c r="AD1003" t="n">
        <v>2</v>
      </c>
      <c r="AE1003" t="n">
        <v>4</v>
      </c>
      <c r="AF1003" t="n">
        <v>10</v>
      </c>
      <c r="AG1003" t="n">
        <v>21</v>
      </c>
      <c r="AH1003" t="n">
        <v>3</v>
      </c>
      <c r="AI1003" t="n">
        <v>10</v>
      </c>
      <c r="AJ1003" t="n">
        <v>3</v>
      </c>
      <c r="AK1003" t="n">
        <v>5</v>
      </c>
      <c r="AL1003" t="n">
        <v>5</v>
      </c>
      <c r="AM1003" t="n">
        <v>7</v>
      </c>
      <c r="AN1003" t="n">
        <v>1</v>
      </c>
      <c r="AO1003" t="n">
        <v>3</v>
      </c>
      <c r="AP1003" t="n">
        <v>0</v>
      </c>
      <c r="AQ1003" t="n">
        <v>0</v>
      </c>
      <c r="AR1003" t="inlineStr">
        <is>
          <t>No</t>
        </is>
      </c>
      <c r="AS1003" t="inlineStr">
        <is>
          <t>Yes</t>
        </is>
      </c>
      <c r="AT1003">
        <f>HYPERLINK("http://catalog.hathitrust.org/Record/000784658","HathiTrust Record")</f>
        <v/>
      </c>
      <c r="AU1003">
        <f>HYPERLINK("https://creighton-primo.hosted.exlibrisgroup.com/primo-explore/search?tab=default_tab&amp;search_scope=EVERYTHING&amp;vid=01CRU&amp;lang=en_US&amp;offset=0&amp;query=any,contains,991000664699702656","Catalog Record")</f>
        <v/>
      </c>
      <c r="AV1003">
        <f>HYPERLINK("http://www.worldcat.org/oclc/10559567","WorldCat Record")</f>
        <v/>
      </c>
      <c r="AW1003" t="inlineStr">
        <is>
          <t>350597217:eng</t>
        </is>
      </c>
      <c r="AX1003" t="inlineStr">
        <is>
          <t>10559567</t>
        </is>
      </c>
      <c r="AY1003" t="inlineStr">
        <is>
          <t>991000664699702656</t>
        </is>
      </c>
      <c r="AZ1003" t="inlineStr">
        <is>
          <t>991000664699702656</t>
        </is>
      </c>
      <c r="BA1003" t="inlineStr">
        <is>
          <t>2272069950002656</t>
        </is>
      </c>
      <c r="BB1003" t="inlineStr">
        <is>
          <t>BOOK</t>
        </is>
      </c>
      <c r="BD1003" t="inlineStr">
        <is>
          <t>9780866563147</t>
        </is>
      </c>
      <c r="BE1003" t="inlineStr">
        <is>
          <t>30001000689366</t>
        </is>
      </c>
      <c r="BF1003" t="inlineStr">
        <is>
          <t>893277875</t>
        </is>
      </c>
    </row>
    <row r="1004">
      <c r="A1004" t="inlineStr">
        <is>
          <t>No</t>
        </is>
      </c>
      <c r="B1004" t="inlineStr">
        <is>
          <t>CUHSL</t>
        </is>
      </c>
      <c r="C1004" t="inlineStr">
        <is>
          <t>SHELVES</t>
        </is>
      </c>
      <c r="D1004" t="inlineStr">
        <is>
          <t>W 322 S715s 1985</t>
        </is>
      </c>
      <c r="E1004" t="inlineStr">
        <is>
          <t>0                      W  0322000S  715s        1985</t>
        </is>
      </c>
      <c r="F1004" t="inlineStr">
        <is>
          <t>Social work in the emergency room / Carole W. Soskis.</t>
        </is>
      </c>
      <c r="H1004" t="inlineStr">
        <is>
          <t>No</t>
        </is>
      </c>
      <c r="I1004" t="inlineStr">
        <is>
          <t>1</t>
        </is>
      </c>
      <c r="J1004" t="inlineStr">
        <is>
          <t>No</t>
        </is>
      </c>
      <c r="K1004" t="inlineStr">
        <is>
          <t>No</t>
        </is>
      </c>
      <c r="L1004" t="inlineStr">
        <is>
          <t>0</t>
        </is>
      </c>
      <c r="M1004" t="inlineStr">
        <is>
          <t>Soskis, Carole W.</t>
        </is>
      </c>
      <c r="N1004" t="inlineStr">
        <is>
          <t>New York : Springer Pub. Co., c1985.</t>
        </is>
      </c>
      <c r="O1004" t="inlineStr">
        <is>
          <t>1985</t>
        </is>
      </c>
      <c r="Q1004" t="inlineStr">
        <is>
          <t>eng</t>
        </is>
      </c>
      <c r="R1004" t="inlineStr">
        <is>
          <t>xxu</t>
        </is>
      </c>
      <c r="S1004" t="inlineStr">
        <is>
          <t>Springer series on social work ; v. 5</t>
        </is>
      </c>
      <c r="T1004" t="inlineStr">
        <is>
          <t xml:space="preserve">W  </t>
        </is>
      </c>
      <c r="U1004" t="n">
        <v>1</v>
      </c>
      <c r="V1004" t="n">
        <v>1</v>
      </c>
      <c r="W1004" t="inlineStr">
        <is>
          <t>2004-09-09</t>
        </is>
      </c>
      <c r="X1004" t="inlineStr">
        <is>
          <t>2004-09-09</t>
        </is>
      </c>
      <c r="Y1004" t="inlineStr">
        <is>
          <t>1987-12-28</t>
        </is>
      </c>
      <c r="Z1004" t="inlineStr">
        <is>
          <t>1987-12-28</t>
        </is>
      </c>
      <c r="AA1004" t="n">
        <v>284</v>
      </c>
      <c r="AB1004" t="n">
        <v>242</v>
      </c>
      <c r="AC1004" t="n">
        <v>244</v>
      </c>
      <c r="AD1004" t="n">
        <v>1</v>
      </c>
      <c r="AE1004" t="n">
        <v>1</v>
      </c>
      <c r="AF1004" t="n">
        <v>8</v>
      </c>
      <c r="AG1004" t="n">
        <v>8</v>
      </c>
      <c r="AH1004" t="n">
        <v>3</v>
      </c>
      <c r="AI1004" t="n">
        <v>3</v>
      </c>
      <c r="AJ1004" t="n">
        <v>2</v>
      </c>
      <c r="AK1004" t="n">
        <v>2</v>
      </c>
      <c r="AL1004" t="n">
        <v>4</v>
      </c>
      <c r="AM1004" t="n">
        <v>4</v>
      </c>
      <c r="AN1004" t="n">
        <v>0</v>
      </c>
      <c r="AO1004" t="n">
        <v>0</v>
      </c>
      <c r="AP1004" t="n">
        <v>0</v>
      </c>
      <c r="AQ1004" t="n">
        <v>0</v>
      </c>
      <c r="AR1004" t="inlineStr">
        <is>
          <t>No</t>
        </is>
      </c>
      <c r="AS1004" t="inlineStr">
        <is>
          <t>Yes</t>
        </is>
      </c>
      <c r="AT1004">
        <f>HYPERLINK("http://catalog.hathitrust.org/Record/000411937","HathiTrust Record")</f>
        <v/>
      </c>
      <c r="AU1004">
        <f>HYPERLINK("https://creighton-primo.hosted.exlibrisgroup.com/primo-explore/search?tab=default_tab&amp;search_scope=EVERYTHING&amp;vid=01CRU&amp;lang=en_US&amp;offset=0&amp;query=any,contains,991000664529702656","Catalog Record")</f>
        <v/>
      </c>
      <c r="AV1004">
        <f>HYPERLINK("http://www.worldcat.org/oclc/11210721","WorldCat Record")</f>
        <v/>
      </c>
      <c r="AW1004" t="inlineStr">
        <is>
          <t>967113:eng</t>
        </is>
      </c>
      <c r="AX1004" t="inlineStr">
        <is>
          <t>11210721</t>
        </is>
      </c>
      <c r="AY1004" t="inlineStr">
        <is>
          <t>991000664529702656</t>
        </is>
      </c>
      <c r="AZ1004" t="inlineStr">
        <is>
          <t>991000664529702656</t>
        </is>
      </c>
      <c r="BA1004" t="inlineStr">
        <is>
          <t>2256661500002656</t>
        </is>
      </c>
      <c r="BB1004" t="inlineStr">
        <is>
          <t>BOOK</t>
        </is>
      </c>
      <c r="BD1004" t="inlineStr">
        <is>
          <t>9780826144102</t>
        </is>
      </c>
      <c r="BE1004" t="inlineStr">
        <is>
          <t>30001000689341</t>
        </is>
      </c>
      <c r="BF1004" t="inlineStr">
        <is>
          <t>893357277</t>
        </is>
      </c>
    </row>
    <row r="1005">
      <c r="A1005" t="inlineStr">
        <is>
          <t>No</t>
        </is>
      </c>
      <c r="B1005" t="inlineStr">
        <is>
          <t>CUHSL</t>
        </is>
      </c>
      <c r="C1005" t="inlineStr">
        <is>
          <t>SHELVES</t>
        </is>
      </c>
      <c r="D1005" t="inlineStr">
        <is>
          <t>W 615 M489 1989</t>
        </is>
      </c>
      <c r="E1005" t="inlineStr">
        <is>
          <t>0                      W  0615000M  489         1989</t>
        </is>
      </c>
      <c r="F1005" t="inlineStr">
        <is>
          <t>Medicolegal glossary / edited by Walter L. Scott.</t>
        </is>
      </c>
      <c r="H1005" t="inlineStr">
        <is>
          <t>No</t>
        </is>
      </c>
      <c r="I1005" t="inlineStr">
        <is>
          <t>1</t>
        </is>
      </c>
      <c r="J1005" t="inlineStr">
        <is>
          <t>No</t>
        </is>
      </c>
      <c r="K1005" t="inlineStr">
        <is>
          <t>No</t>
        </is>
      </c>
      <c r="L1005" t="inlineStr">
        <is>
          <t>0</t>
        </is>
      </c>
      <c r="N1005" t="inlineStr">
        <is>
          <t>Oradell, N.J. : Medical Economics Books, c1989.</t>
        </is>
      </c>
      <c r="O1005" t="inlineStr">
        <is>
          <t>1989</t>
        </is>
      </c>
      <c r="Q1005" t="inlineStr">
        <is>
          <t>eng</t>
        </is>
      </c>
      <c r="R1005" t="inlineStr">
        <is>
          <t>nju</t>
        </is>
      </c>
      <c r="T1005" t="inlineStr">
        <is>
          <t xml:space="preserve">W  </t>
        </is>
      </c>
      <c r="U1005" t="n">
        <v>3</v>
      </c>
      <c r="V1005" t="n">
        <v>3</v>
      </c>
      <c r="W1005" t="inlineStr">
        <is>
          <t>1992-05-26</t>
        </is>
      </c>
      <c r="X1005" t="inlineStr">
        <is>
          <t>1992-05-26</t>
        </is>
      </c>
      <c r="Y1005" t="inlineStr">
        <is>
          <t>1992-05-26</t>
        </is>
      </c>
      <c r="Z1005" t="inlineStr">
        <is>
          <t>1992-05-26</t>
        </is>
      </c>
      <c r="AA1005" t="n">
        <v>162</v>
      </c>
      <c r="AB1005" t="n">
        <v>134</v>
      </c>
      <c r="AC1005" t="n">
        <v>134</v>
      </c>
      <c r="AD1005" t="n">
        <v>1</v>
      </c>
      <c r="AE1005" t="n">
        <v>1</v>
      </c>
      <c r="AF1005" t="n">
        <v>4</v>
      </c>
      <c r="AG1005" t="n">
        <v>4</v>
      </c>
      <c r="AH1005" t="n">
        <v>0</v>
      </c>
      <c r="AI1005" t="n">
        <v>0</v>
      </c>
      <c r="AJ1005" t="n">
        <v>0</v>
      </c>
      <c r="AK1005" t="n">
        <v>0</v>
      </c>
      <c r="AL1005" t="n">
        <v>0</v>
      </c>
      <c r="AM1005" t="n">
        <v>0</v>
      </c>
      <c r="AN1005" t="n">
        <v>0</v>
      </c>
      <c r="AO1005" t="n">
        <v>0</v>
      </c>
      <c r="AP1005" t="n">
        <v>4</v>
      </c>
      <c r="AQ1005" t="n">
        <v>4</v>
      </c>
      <c r="AR1005" t="inlineStr">
        <is>
          <t>No</t>
        </is>
      </c>
      <c r="AS1005" t="inlineStr">
        <is>
          <t>No</t>
        </is>
      </c>
      <c r="AU1005">
        <f>HYPERLINK("https://creighton-primo.hosted.exlibrisgroup.com/primo-explore/search?tab=default_tab&amp;search_scope=EVERYTHING&amp;vid=01CRU&amp;lang=en_US&amp;offset=0&amp;query=any,contains,991001304969702656","Catalog Record")</f>
        <v/>
      </c>
      <c r="AV1005">
        <f>HYPERLINK("http://www.worldcat.org/oclc/18779070","WorldCat Record")</f>
        <v/>
      </c>
      <c r="AW1005" t="inlineStr">
        <is>
          <t>18830447:eng</t>
        </is>
      </c>
      <c r="AX1005" t="inlineStr">
        <is>
          <t>18779070</t>
        </is>
      </c>
      <c r="AY1005" t="inlineStr">
        <is>
          <t>991001304969702656</t>
        </is>
      </c>
      <c r="AZ1005" t="inlineStr">
        <is>
          <t>991001304969702656</t>
        </is>
      </c>
      <c r="BA1005" t="inlineStr">
        <is>
          <t>2256605160002656</t>
        </is>
      </c>
      <c r="BB1005" t="inlineStr">
        <is>
          <t>BOOK</t>
        </is>
      </c>
      <c r="BD1005" t="inlineStr">
        <is>
          <t>9780874894950</t>
        </is>
      </c>
      <c r="BE1005" t="inlineStr">
        <is>
          <t>30001002413427</t>
        </is>
      </c>
      <c r="BF1005" t="inlineStr">
        <is>
          <t>893816287</t>
        </is>
      </c>
    </row>
    <row r="1006">
      <c r="A1006" t="inlineStr">
        <is>
          <t>No</t>
        </is>
      </c>
      <c r="B1006" t="inlineStr">
        <is>
          <t>CUHSL</t>
        </is>
      </c>
      <c r="C1006" t="inlineStr">
        <is>
          <t>SHELVES</t>
        </is>
      </c>
      <c r="D1006" t="inlineStr">
        <is>
          <t>W639 Q65 2003</t>
        </is>
      </c>
      <c r="E1006" t="inlineStr">
        <is>
          <t>0                      W  0639000Q  65          2003</t>
        </is>
      </c>
      <c r="F1006" t="inlineStr">
        <is>
          <t>Sexual assault : for healthcare professionals, social services, and law enforcement : quick-reference / Angelo P. Giardino ... [et al.].</t>
        </is>
      </c>
      <c r="H1006" t="inlineStr">
        <is>
          <t>No</t>
        </is>
      </c>
      <c r="I1006" t="inlineStr">
        <is>
          <t>1</t>
        </is>
      </c>
      <c r="J1006" t="inlineStr">
        <is>
          <t>No</t>
        </is>
      </c>
      <c r="K1006" t="inlineStr">
        <is>
          <t>No</t>
        </is>
      </c>
      <c r="L1006" t="inlineStr">
        <is>
          <t>1</t>
        </is>
      </c>
      <c r="N1006" t="inlineStr">
        <is>
          <t>St. Louis : G.W. Medical Pub., c2003.</t>
        </is>
      </c>
      <c r="O1006" t="inlineStr">
        <is>
          <t>2003</t>
        </is>
      </c>
      <c r="Q1006" t="inlineStr">
        <is>
          <t>eng</t>
        </is>
      </c>
      <c r="R1006" t="inlineStr">
        <is>
          <t>mou</t>
        </is>
      </c>
      <c r="T1006" t="inlineStr">
        <is>
          <t xml:space="preserve">W  </t>
        </is>
      </c>
      <c r="U1006" t="n">
        <v>0</v>
      </c>
      <c r="V1006" t="n">
        <v>0</v>
      </c>
      <c r="W1006" t="inlineStr">
        <is>
          <t>2005-04-12</t>
        </is>
      </c>
      <c r="X1006" t="inlineStr">
        <is>
          <t>2005-04-12</t>
        </is>
      </c>
      <c r="Y1006" t="inlineStr">
        <is>
          <t>2005-04-07</t>
        </is>
      </c>
      <c r="Z1006" t="inlineStr">
        <is>
          <t>2005-04-07</t>
        </is>
      </c>
      <c r="AA1006" t="n">
        <v>88</v>
      </c>
      <c r="AB1006" t="n">
        <v>71</v>
      </c>
      <c r="AC1006" t="n">
        <v>799</v>
      </c>
      <c r="AD1006" t="n">
        <v>1</v>
      </c>
      <c r="AE1006" t="n">
        <v>18</v>
      </c>
      <c r="AF1006" t="n">
        <v>3</v>
      </c>
      <c r="AG1006" t="n">
        <v>40</v>
      </c>
      <c r="AH1006" t="n">
        <v>0</v>
      </c>
      <c r="AI1006" t="n">
        <v>10</v>
      </c>
      <c r="AJ1006" t="n">
        <v>1</v>
      </c>
      <c r="AK1006" t="n">
        <v>9</v>
      </c>
      <c r="AL1006" t="n">
        <v>2</v>
      </c>
      <c r="AM1006" t="n">
        <v>9</v>
      </c>
      <c r="AN1006" t="n">
        <v>0</v>
      </c>
      <c r="AO1006" t="n">
        <v>15</v>
      </c>
      <c r="AP1006" t="n">
        <v>1</v>
      </c>
      <c r="AQ1006" t="n">
        <v>3</v>
      </c>
      <c r="AR1006" t="inlineStr">
        <is>
          <t>No</t>
        </is>
      </c>
      <c r="AS1006" t="inlineStr">
        <is>
          <t>No</t>
        </is>
      </c>
      <c r="AU1006">
        <f>HYPERLINK("https://creighton-primo.hosted.exlibrisgroup.com/primo-explore/search?tab=default_tab&amp;search_scope=EVERYTHING&amp;vid=01CRU&amp;lang=en_US&amp;offset=0&amp;query=any,contains,991000435609702656","Catalog Record")</f>
        <v/>
      </c>
      <c r="AV1006">
        <f>HYPERLINK("http://www.worldcat.org/oclc/52128256","WorldCat Record")</f>
        <v/>
      </c>
      <c r="AW1006" t="inlineStr">
        <is>
          <t>2577366249:eng</t>
        </is>
      </c>
      <c r="AX1006" t="inlineStr">
        <is>
          <t>52128256</t>
        </is>
      </c>
      <c r="AY1006" t="inlineStr">
        <is>
          <t>991000435609702656</t>
        </is>
      </c>
      <c r="AZ1006" t="inlineStr">
        <is>
          <t>991000435609702656</t>
        </is>
      </c>
      <c r="BA1006" t="inlineStr">
        <is>
          <t>2266462880002656</t>
        </is>
      </c>
      <c r="BB1006" t="inlineStr">
        <is>
          <t>BOOK</t>
        </is>
      </c>
      <c r="BD1006" t="inlineStr">
        <is>
          <t>9781878060389</t>
        </is>
      </c>
      <c r="BE1006" t="inlineStr">
        <is>
          <t>30001004929222</t>
        </is>
      </c>
      <c r="BF1006" t="inlineStr">
        <is>
          <t>893365418</t>
        </is>
      </c>
    </row>
    <row r="1007">
      <c r="A1007" t="inlineStr">
        <is>
          <t>No</t>
        </is>
      </c>
      <c r="B1007" t="inlineStr">
        <is>
          <t>CUHSL</t>
        </is>
      </c>
      <c r="C1007" t="inlineStr">
        <is>
          <t>SHELVES</t>
        </is>
      </c>
      <c r="D1007" t="inlineStr">
        <is>
          <t>W 700 C168t</t>
        </is>
      </c>
      <c r="E1007" t="inlineStr">
        <is>
          <t>0                      W  0700000C  168t</t>
        </is>
      </c>
      <c r="F1007" t="inlineStr">
        <is>
          <t>Traumatic medicine and surgery / editor in chief, Paul David Cantor.</t>
        </is>
      </c>
      <c r="G1007" t="inlineStr">
        <is>
          <t>V. 6</t>
        </is>
      </c>
      <c r="H1007" t="inlineStr">
        <is>
          <t>Yes</t>
        </is>
      </c>
      <c r="I1007" t="inlineStr">
        <is>
          <t>1</t>
        </is>
      </c>
      <c r="J1007" t="inlineStr">
        <is>
          <t>No</t>
        </is>
      </c>
      <c r="K1007" t="inlineStr">
        <is>
          <t>No</t>
        </is>
      </c>
      <c r="L1007" t="inlineStr">
        <is>
          <t>0</t>
        </is>
      </c>
      <c r="N1007" t="inlineStr">
        <is>
          <t>Washington : Butterworths, 1959-1964</t>
        </is>
      </c>
      <c r="O1007" t="inlineStr">
        <is>
          <t>1959</t>
        </is>
      </c>
      <c r="Q1007" t="inlineStr">
        <is>
          <t>eng</t>
        </is>
      </c>
      <c r="R1007" t="inlineStr">
        <is>
          <t>dcu</t>
        </is>
      </c>
      <c r="T1007" t="inlineStr">
        <is>
          <t xml:space="preserve">W  </t>
        </is>
      </c>
      <c r="U1007" t="n">
        <v>0</v>
      </c>
      <c r="V1007" t="n">
        <v>2</v>
      </c>
      <c r="X1007" t="inlineStr">
        <is>
          <t>1988-05-14</t>
        </is>
      </c>
      <c r="Y1007" t="inlineStr">
        <is>
          <t>1988-02-03</t>
        </is>
      </c>
      <c r="Z1007" t="inlineStr">
        <is>
          <t>1988-02-03</t>
        </is>
      </c>
      <c r="AA1007" t="n">
        <v>20</v>
      </c>
      <c r="AB1007" t="n">
        <v>15</v>
      </c>
      <c r="AC1007" t="n">
        <v>17</v>
      </c>
      <c r="AD1007" t="n">
        <v>1</v>
      </c>
      <c r="AE1007" t="n">
        <v>1</v>
      </c>
      <c r="AF1007" t="n">
        <v>0</v>
      </c>
      <c r="AG1007" t="n">
        <v>0</v>
      </c>
      <c r="AH1007" t="n">
        <v>0</v>
      </c>
      <c r="AI1007" t="n">
        <v>0</v>
      </c>
      <c r="AJ1007" t="n">
        <v>0</v>
      </c>
      <c r="AK1007" t="n">
        <v>0</v>
      </c>
      <c r="AL1007" t="n">
        <v>0</v>
      </c>
      <c r="AM1007" t="n">
        <v>0</v>
      </c>
      <c r="AN1007" t="n">
        <v>0</v>
      </c>
      <c r="AO1007" t="n">
        <v>0</v>
      </c>
      <c r="AP1007" t="n">
        <v>0</v>
      </c>
      <c r="AQ1007" t="n">
        <v>0</v>
      </c>
      <c r="AR1007" t="inlineStr">
        <is>
          <t>No</t>
        </is>
      </c>
      <c r="AS1007" t="inlineStr">
        <is>
          <t>Yes</t>
        </is>
      </c>
      <c r="AT1007">
        <f>HYPERLINK("http://catalog.hathitrust.org/Record/002065708","HathiTrust Record")</f>
        <v/>
      </c>
      <c r="AU1007">
        <f>HYPERLINK("https://creighton-primo.hosted.exlibrisgroup.com/primo-explore/search?tab=default_tab&amp;search_scope=EVERYTHING&amp;vid=01CRU&amp;lang=en_US&amp;offset=0&amp;query=any,contains,991000664739702656","Catalog Record")</f>
        <v/>
      </c>
      <c r="AV1007">
        <f>HYPERLINK("http://www.worldcat.org/oclc/11420760","WorldCat Record")</f>
        <v/>
      </c>
      <c r="AW1007" t="inlineStr">
        <is>
          <t>3377119145:eng</t>
        </is>
      </c>
      <c r="AX1007" t="inlineStr">
        <is>
          <t>11420760</t>
        </is>
      </c>
      <c r="AY1007" t="inlineStr">
        <is>
          <t>991000664739702656</t>
        </is>
      </c>
      <c r="AZ1007" t="inlineStr">
        <is>
          <t>991000664739702656</t>
        </is>
      </c>
      <c r="BA1007" t="inlineStr">
        <is>
          <t>2266113930002656</t>
        </is>
      </c>
      <c r="BB1007" t="inlineStr">
        <is>
          <t>BOOK</t>
        </is>
      </c>
      <c r="BE1007" t="inlineStr">
        <is>
          <t>30001000689457</t>
        </is>
      </c>
      <c r="BF1007" t="inlineStr">
        <is>
          <t>893283330</t>
        </is>
      </c>
    </row>
    <row r="1008">
      <c r="A1008" t="inlineStr">
        <is>
          <t>No</t>
        </is>
      </c>
      <c r="B1008" t="inlineStr">
        <is>
          <t>CUHSL</t>
        </is>
      </c>
      <c r="C1008" t="inlineStr">
        <is>
          <t>SHELVES</t>
        </is>
      </c>
      <c r="D1008" t="inlineStr">
        <is>
          <t>W 700 C168t</t>
        </is>
      </c>
      <c r="E1008" t="inlineStr">
        <is>
          <t>0                      W  0700000C  168t</t>
        </is>
      </c>
      <c r="F1008" t="inlineStr">
        <is>
          <t>Traumatic medicine and surgery / editor in chief, Paul David Cantor.</t>
        </is>
      </c>
      <c r="G1008" t="inlineStr">
        <is>
          <t>V. 5</t>
        </is>
      </c>
      <c r="H1008" t="inlineStr">
        <is>
          <t>Yes</t>
        </is>
      </c>
      <c r="I1008" t="inlineStr">
        <is>
          <t>1</t>
        </is>
      </c>
      <c r="J1008" t="inlineStr">
        <is>
          <t>No</t>
        </is>
      </c>
      <c r="K1008" t="inlineStr">
        <is>
          <t>No</t>
        </is>
      </c>
      <c r="L1008" t="inlineStr">
        <is>
          <t>0</t>
        </is>
      </c>
      <c r="N1008" t="inlineStr">
        <is>
          <t>Washington : Butterworths, 1959-1964</t>
        </is>
      </c>
      <c r="O1008" t="inlineStr">
        <is>
          <t>1959</t>
        </is>
      </c>
      <c r="Q1008" t="inlineStr">
        <is>
          <t>eng</t>
        </is>
      </c>
      <c r="R1008" t="inlineStr">
        <is>
          <t>dcu</t>
        </is>
      </c>
      <c r="T1008" t="inlineStr">
        <is>
          <t xml:space="preserve">W  </t>
        </is>
      </c>
      <c r="U1008" t="n">
        <v>0</v>
      </c>
      <c r="V1008" t="n">
        <v>2</v>
      </c>
      <c r="X1008" t="inlineStr">
        <is>
          <t>1988-05-14</t>
        </is>
      </c>
      <c r="Y1008" t="inlineStr">
        <is>
          <t>1988-02-03</t>
        </is>
      </c>
      <c r="Z1008" t="inlineStr">
        <is>
          <t>1988-02-03</t>
        </is>
      </c>
      <c r="AA1008" t="n">
        <v>20</v>
      </c>
      <c r="AB1008" t="n">
        <v>15</v>
      </c>
      <c r="AC1008" t="n">
        <v>17</v>
      </c>
      <c r="AD1008" t="n">
        <v>1</v>
      </c>
      <c r="AE1008" t="n">
        <v>1</v>
      </c>
      <c r="AF1008" t="n">
        <v>0</v>
      </c>
      <c r="AG1008" t="n">
        <v>0</v>
      </c>
      <c r="AH1008" t="n">
        <v>0</v>
      </c>
      <c r="AI1008" t="n">
        <v>0</v>
      </c>
      <c r="AJ1008" t="n">
        <v>0</v>
      </c>
      <c r="AK1008" t="n">
        <v>0</v>
      </c>
      <c r="AL1008" t="n">
        <v>0</v>
      </c>
      <c r="AM1008" t="n">
        <v>0</v>
      </c>
      <c r="AN1008" t="n">
        <v>0</v>
      </c>
      <c r="AO1008" t="n">
        <v>0</v>
      </c>
      <c r="AP1008" t="n">
        <v>0</v>
      </c>
      <c r="AQ1008" t="n">
        <v>0</v>
      </c>
      <c r="AR1008" t="inlineStr">
        <is>
          <t>No</t>
        </is>
      </c>
      <c r="AS1008" t="inlineStr">
        <is>
          <t>Yes</t>
        </is>
      </c>
      <c r="AT1008">
        <f>HYPERLINK("http://catalog.hathitrust.org/Record/002065708","HathiTrust Record")</f>
        <v/>
      </c>
      <c r="AU1008">
        <f>HYPERLINK("https://creighton-primo.hosted.exlibrisgroup.com/primo-explore/search?tab=default_tab&amp;search_scope=EVERYTHING&amp;vid=01CRU&amp;lang=en_US&amp;offset=0&amp;query=any,contains,991000664739702656","Catalog Record")</f>
        <v/>
      </c>
      <c r="AV1008">
        <f>HYPERLINK("http://www.worldcat.org/oclc/11420760","WorldCat Record")</f>
        <v/>
      </c>
      <c r="AW1008" t="inlineStr">
        <is>
          <t>3377119145:eng</t>
        </is>
      </c>
      <c r="AX1008" t="inlineStr">
        <is>
          <t>11420760</t>
        </is>
      </c>
      <c r="AY1008" t="inlineStr">
        <is>
          <t>991000664739702656</t>
        </is>
      </c>
      <c r="AZ1008" t="inlineStr">
        <is>
          <t>991000664739702656</t>
        </is>
      </c>
      <c r="BA1008" t="inlineStr">
        <is>
          <t>2266113930002656</t>
        </is>
      </c>
      <c r="BB1008" t="inlineStr">
        <is>
          <t>BOOK</t>
        </is>
      </c>
      <c r="BE1008" t="inlineStr">
        <is>
          <t>30001000689440</t>
        </is>
      </c>
      <c r="BF1008" t="inlineStr">
        <is>
          <t>893283331</t>
        </is>
      </c>
    </row>
    <row r="1009">
      <c r="A1009" t="inlineStr">
        <is>
          <t>No</t>
        </is>
      </c>
      <c r="B1009" t="inlineStr">
        <is>
          <t>CUHSL</t>
        </is>
      </c>
      <c r="C1009" t="inlineStr">
        <is>
          <t>SHELVES</t>
        </is>
      </c>
      <c r="D1009" t="inlineStr">
        <is>
          <t>W 700 C168t</t>
        </is>
      </c>
      <c r="E1009" t="inlineStr">
        <is>
          <t>0                      W  0700000C  168t</t>
        </is>
      </c>
      <c r="F1009" t="inlineStr">
        <is>
          <t>Traumatic medicine and surgery / editor in chief, Paul David Cantor.</t>
        </is>
      </c>
      <c r="G1009" t="inlineStr">
        <is>
          <t>V. 10</t>
        </is>
      </c>
      <c r="H1009" t="inlineStr">
        <is>
          <t>Yes</t>
        </is>
      </c>
      <c r="I1009" t="inlineStr">
        <is>
          <t>1</t>
        </is>
      </c>
      <c r="J1009" t="inlineStr">
        <is>
          <t>No</t>
        </is>
      </c>
      <c r="K1009" t="inlineStr">
        <is>
          <t>No</t>
        </is>
      </c>
      <c r="L1009" t="inlineStr">
        <is>
          <t>0</t>
        </is>
      </c>
      <c r="N1009" t="inlineStr">
        <is>
          <t>Washington : Butterworths, 1959-1964</t>
        </is>
      </c>
      <c r="O1009" t="inlineStr">
        <is>
          <t>1959</t>
        </is>
      </c>
      <c r="Q1009" t="inlineStr">
        <is>
          <t>eng</t>
        </is>
      </c>
      <c r="R1009" t="inlineStr">
        <is>
          <t>dcu</t>
        </is>
      </c>
      <c r="T1009" t="inlineStr">
        <is>
          <t xml:space="preserve">W  </t>
        </is>
      </c>
      <c r="U1009" t="n">
        <v>0</v>
      </c>
      <c r="V1009" t="n">
        <v>2</v>
      </c>
      <c r="X1009" t="inlineStr">
        <is>
          <t>1988-05-14</t>
        </is>
      </c>
      <c r="Y1009" t="inlineStr">
        <is>
          <t>1988-02-03</t>
        </is>
      </c>
      <c r="Z1009" t="inlineStr">
        <is>
          <t>1988-02-03</t>
        </is>
      </c>
      <c r="AA1009" t="n">
        <v>20</v>
      </c>
      <c r="AB1009" t="n">
        <v>15</v>
      </c>
      <c r="AC1009" t="n">
        <v>17</v>
      </c>
      <c r="AD1009" t="n">
        <v>1</v>
      </c>
      <c r="AE1009" t="n">
        <v>1</v>
      </c>
      <c r="AF1009" t="n">
        <v>0</v>
      </c>
      <c r="AG1009" t="n">
        <v>0</v>
      </c>
      <c r="AH1009" t="n">
        <v>0</v>
      </c>
      <c r="AI1009" t="n">
        <v>0</v>
      </c>
      <c r="AJ1009" t="n">
        <v>0</v>
      </c>
      <c r="AK1009" t="n">
        <v>0</v>
      </c>
      <c r="AL1009" t="n">
        <v>0</v>
      </c>
      <c r="AM1009" t="n">
        <v>0</v>
      </c>
      <c r="AN1009" t="n">
        <v>0</v>
      </c>
      <c r="AO1009" t="n">
        <v>0</v>
      </c>
      <c r="AP1009" t="n">
        <v>0</v>
      </c>
      <c r="AQ1009" t="n">
        <v>0</v>
      </c>
      <c r="AR1009" t="inlineStr">
        <is>
          <t>No</t>
        </is>
      </c>
      <c r="AS1009" t="inlineStr">
        <is>
          <t>Yes</t>
        </is>
      </c>
      <c r="AT1009">
        <f>HYPERLINK("http://catalog.hathitrust.org/Record/002065708","HathiTrust Record")</f>
        <v/>
      </c>
      <c r="AU1009">
        <f>HYPERLINK("https://creighton-primo.hosted.exlibrisgroup.com/primo-explore/search?tab=default_tab&amp;search_scope=EVERYTHING&amp;vid=01CRU&amp;lang=en_US&amp;offset=0&amp;query=any,contains,991000664739702656","Catalog Record")</f>
        <v/>
      </c>
      <c r="AV1009">
        <f>HYPERLINK("http://www.worldcat.org/oclc/11420760","WorldCat Record")</f>
        <v/>
      </c>
      <c r="AW1009" t="inlineStr">
        <is>
          <t>3377119145:eng</t>
        </is>
      </c>
      <c r="AX1009" t="inlineStr">
        <is>
          <t>11420760</t>
        </is>
      </c>
      <c r="AY1009" t="inlineStr">
        <is>
          <t>991000664739702656</t>
        </is>
      </c>
      <c r="AZ1009" t="inlineStr">
        <is>
          <t>991000664739702656</t>
        </is>
      </c>
      <c r="BA1009" t="inlineStr">
        <is>
          <t>2266113930002656</t>
        </is>
      </c>
      <c r="BB1009" t="inlineStr">
        <is>
          <t>BOOK</t>
        </is>
      </c>
      <c r="BE1009" t="inlineStr">
        <is>
          <t>30001000689499</t>
        </is>
      </c>
      <c r="BF1009" t="inlineStr">
        <is>
          <t>893277879</t>
        </is>
      </c>
    </row>
    <row r="1010">
      <c r="A1010" t="inlineStr">
        <is>
          <t>No</t>
        </is>
      </c>
      <c r="B1010" t="inlineStr">
        <is>
          <t>CUHSL</t>
        </is>
      </c>
      <c r="C1010" t="inlineStr">
        <is>
          <t>SHELVES</t>
        </is>
      </c>
      <c r="D1010" t="inlineStr">
        <is>
          <t>W 700 C168t</t>
        </is>
      </c>
      <c r="E1010" t="inlineStr">
        <is>
          <t>0                      W  0700000C  168t</t>
        </is>
      </c>
      <c r="F1010" t="inlineStr">
        <is>
          <t>Traumatic medicine and surgery / editor in chief, Paul David Cantor.</t>
        </is>
      </c>
      <c r="G1010" t="inlineStr">
        <is>
          <t>V. 7</t>
        </is>
      </c>
      <c r="H1010" t="inlineStr">
        <is>
          <t>Yes</t>
        </is>
      </c>
      <c r="I1010" t="inlineStr">
        <is>
          <t>1</t>
        </is>
      </c>
      <c r="J1010" t="inlineStr">
        <is>
          <t>No</t>
        </is>
      </c>
      <c r="K1010" t="inlineStr">
        <is>
          <t>No</t>
        </is>
      </c>
      <c r="L1010" t="inlineStr">
        <is>
          <t>0</t>
        </is>
      </c>
      <c r="N1010" t="inlineStr">
        <is>
          <t>Washington : Butterworths, 1959-1964</t>
        </is>
      </c>
      <c r="O1010" t="inlineStr">
        <is>
          <t>1959</t>
        </is>
      </c>
      <c r="Q1010" t="inlineStr">
        <is>
          <t>eng</t>
        </is>
      </c>
      <c r="R1010" t="inlineStr">
        <is>
          <t>dcu</t>
        </is>
      </c>
      <c r="T1010" t="inlineStr">
        <is>
          <t xml:space="preserve">W  </t>
        </is>
      </c>
      <c r="U1010" t="n">
        <v>0</v>
      </c>
      <c r="V1010" t="n">
        <v>2</v>
      </c>
      <c r="X1010" t="inlineStr">
        <is>
          <t>1988-05-14</t>
        </is>
      </c>
      <c r="Y1010" t="inlineStr">
        <is>
          <t>1988-02-03</t>
        </is>
      </c>
      <c r="Z1010" t="inlineStr">
        <is>
          <t>1988-02-03</t>
        </is>
      </c>
      <c r="AA1010" t="n">
        <v>20</v>
      </c>
      <c r="AB1010" t="n">
        <v>15</v>
      </c>
      <c r="AC1010" t="n">
        <v>17</v>
      </c>
      <c r="AD1010" t="n">
        <v>1</v>
      </c>
      <c r="AE1010" t="n">
        <v>1</v>
      </c>
      <c r="AF1010" t="n">
        <v>0</v>
      </c>
      <c r="AG1010" t="n">
        <v>0</v>
      </c>
      <c r="AH1010" t="n">
        <v>0</v>
      </c>
      <c r="AI1010" t="n">
        <v>0</v>
      </c>
      <c r="AJ1010" t="n">
        <v>0</v>
      </c>
      <c r="AK1010" t="n">
        <v>0</v>
      </c>
      <c r="AL1010" t="n">
        <v>0</v>
      </c>
      <c r="AM1010" t="n">
        <v>0</v>
      </c>
      <c r="AN1010" t="n">
        <v>0</v>
      </c>
      <c r="AO1010" t="n">
        <v>0</v>
      </c>
      <c r="AP1010" t="n">
        <v>0</v>
      </c>
      <c r="AQ1010" t="n">
        <v>0</v>
      </c>
      <c r="AR1010" t="inlineStr">
        <is>
          <t>No</t>
        </is>
      </c>
      <c r="AS1010" t="inlineStr">
        <is>
          <t>Yes</t>
        </is>
      </c>
      <c r="AT1010">
        <f>HYPERLINK("http://catalog.hathitrust.org/Record/002065708","HathiTrust Record")</f>
        <v/>
      </c>
      <c r="AU1010">
        <f>HYPERLINK("https://creighton-primo.hosted.exlibrisgroup.com/primo-explore/search?tab=default_tab&amp;search_scope=EVERYTHING&amp;vid=01CRU&amp;lang=en_US&amp;offset=0&amp;query=any,contains,991000664739702656","Catalog Record")</f>
        <v/>
      </c>
      <c r="AV1010">
        <f>HYPERLINK("http://www.worldcat.org/oclc/11420760","WorldCat Record")</f>
        <v/>
      </c>
      <c r="AW1010" t="inlineStr">
        <is>
          <t>3377119145:eng</t>
        </is>
      </c>
      <c r="AX1010" t="inlineStr">
        <is>
          <t>11420760</t>
        </is>
      </c>
      <c r="AY1010" t="inlineStr">
        <is>
          <t>991000664739702656</t>
        </is>
      </c>
      <c r="AZ1010" t="inlineStr">
        <is>
          <t>991000664739702656</t>
        </is>
      </c>
      <c r="BA1010" t="inlineStr">
        <is>
          <t>2266113930002656</t>
        </is>
      </c>
      <c r="BB1010" t="inlineStr">
        <is>
          <t>BOOK</t>
        </is>
      </c>
      <c r="BE1010" t="inlineStr">
        <is>
          <t>30001000689465</t>
        </is>
      </c>
      <c r="BF1010" t="inlineStr">
        <is>
          <t>893277877</t>
        </is>
      </c>
    </row>
    <row r="1011">
      <c r="A1011" t="inlineStr">
        <is>
          <t>No</t>
        </is>
      </c>
      <c r="B1011" t="inlineStr">
        <is>
          <t>CUHSL</t>
        </is>
      </c>
      <c r="C1011" t="inlineStr">
        <is>
          <t>SHELVES</t>
        </is>
      </c>
      <c r="D1011" t="inlineStr">
        <is>
          <t>W 700 C168t</t>
        </is>
      </c>
      <c r="E1011" t="inlineStr">
        <is>
          <t>0                      W  0700000C  168t</t>
        </is>
      </c>
      <c r="F1011" t="inlineStr">
        <is>
          <t>Traumatic medicine and surgery / editor in chief, Paul David Cantor.</t>
        </is>
      </c>
      <c r="G1011" t="inlineStr">
        <is>
          <t>V. 3</t>
        </is>
      </c>
      <c r="H1011" t="inlineStr">
        <is>
          <t>Yes</t>
        </is>
      </c>
      <c r="I1011" t="inlineStr">
        <is>
          <t>1</t>
        </is>
      </c>
      <c r="J1011" t="inlineStr">
        <is>
          <t>No</t>
        </is>
      </c>
      <c r="K1011" t="inlineStr">
        <is>
          <t>No</t>
        </is>
      </c>
      <c r="L1011" t="inlineStr">
        <is>
          <t>0</t>
        </is>
      </c>
      <c r="N1011" t="inlineStr">
        <is>
          <t>Washington : Butterworths, 1959-1964</t>
        </is>
      </c>
      <c r="O1011" t="inlineStr">
        <is>
          <t>1959</t>
        </is>
      </c>
      <c r="Q1011" t="inlineStr">
        <is>
          <t>eng</t>
        </is>
      </c>
      <c r="R1011" t="inlineStr">
        <is>
          <t>dcu</t>
        </is>
      </c>
      <c r="T1011" t="inlineStr">
        <is>
          <t xml:space="preserve">W  </t>
        </is>
      </c>
      <c r="U1011" t="n">
        <v>1</v>
      </c>
      <c r="V1011" t="n">
        <v>2</v>
      </c>
      <c r="W1011" t="inlineStr">
        <is>
          <t>1988-05-14</t>
        </is>
      </c>
      <c r="X1011" t="inlineStr">
        <is>
          <t>1988-05-14</t>
        </is>
      </c>
      <c r="Y1011" t="inlineStr">
        <is>
          <t>1988-02-03</t>
        </is>
      </c>
      <c r="Z1011" t="inlineStr">
        <is>
          <t>1988-02-03</t>
        </is>
      </c>
      <c r="AA1011" t="n">
        <v>20</v>
      </c>
      <c r="AB1011" t="n">
        <v>15</v>
      </c>
      <c r="AC1011" t="n">
        <v>17</v>
      </c>
      <c r="AD1011" t="n">
        <v>1</v>
      </c>
      <c r="AE1011" t="n">
        <v>1</v>
      </c>
      <c r="AF1011" t="n">
        <v>0</v>
      </c>
      <c r="AG1011" t="n">
        <v>0</v>
      </c>
      <c r="AH1011" t="n">
        <v>0</v>
      </c>
      <c r="AI1011" t="n">
        <v>0</v>
      </c>
      <c r="AJ1011" t="n">
        <v>0</v>
      </c>
      <c r="AK1011" t="n">
        <v>0</v>
      </c>
      <c r="AL1011" t="n">
        <v>0</v>
      </c>
      <c r="AM1011" t="n">
        <v>0</v>
      </c>
      <c r="AN1011" t="n">
        <v>0</v>
      </c>
      <c r="AO1011" t="n">
        <v>0</v>
      </c>
      <c r="AP1011" t="n">
        <v>0</v>
      </c>
      <c r="AQ1011" t="n">
        <v>0</v>
      </c>
      <c r="AR1011" t="inlineStr">
        <is>
          <t>No</t>
        </is>
      </c>
      <c r="AS1011" t="inlineStr">
        <is>
          <t>Yes</t>
        </is>
      </c>
      <c r="AT1011">
        <f>HYPERLINK("http://catalog.hathitrust.org/Record/002065708","HathiTrust Record")</f>
        <v/>
      </c>
      <c r="AU1011">
        <f>HYPERLINK("https://creighton-primo.hosted.exlibrisgroup.com/primo-explore/search?tab=default_tab&amp;search_scope=EVERYTHING&amp;vid=01CRU&amp;lang=en_US&amp;offset=0&amp;query=any,contains,991000664739702656","Catalog Record")</f>
        <v/>
      </c>
      <c r="AV1011">
        <f>HYPERLINK("http://www.worldcat.org/oclc/11420760","WorldCat Record")</f>
        <v/>
      </c>
      <c r="AW1011" t="inlineStr">
        <is>
          <t>3377119145:eng</t>
        </is>
      </c>
      <c r="AX1011" t="inlineStr">
        <is>
          <t>11420760</t>
        </is>
      </c>
      <c r="AY1011" t="inlineStr">
        <is>
          <t>991000664739702656</t>
        </is>
      </c>
      <c r="AZ1011" t="inlineStr">
        <is>
          <t>991000664739702656</t>
        </is>
      </c>
      <c r="BA1011" t="inlineStr">
        <is>
          <t>2266113930002656</t>
        </is>
      </c>
      <c r="BB1011" t="inlineStr">
        <is>
          <t>BOOK</t>
        </is>
      </c>
      <c r="BE1011" t="inlineStr">
        <is>
          <t>30001000689424</t>
        </is>
      </c>
      <c r="BF1011" t="inlineStr">
        <is>
          <t>893283332</t>
        </is>
      </c>
    </row>
    <row r="1012">
      <c r="A1012" t="inlineStr">
        <is>
          <t>No</t>
        </is>
      </c>
      <c r="B1012" t="inlineStr">
        <is>
          <t>CUHSL</t>
        </is>
      </c>
      <c r="C1012" t="inlineStr">
        <is>
          <t>SHELVES</t>
        </is>
      </c>
      <c r="D1012" t="inlineStr">
        <is>
          <t>W 700 C168t</t>
        </is>
      </c>
      <c r="E1012" t="inlineStr">
        <is>
          <t>0                      W  0700000C  168t</t>
        </is>
      </c>
      <c r="F1012" t="inlineStr">
        <is>
          <t>Traumatic medicine and surgery / editor in chief, Paul David Cantor.</t>
        </is>
      </c>
      <c r="G1012" t="inlineStr">
        <is>
          <t>V. 9</t>
        </is>
      </c>
      <c r="H1012" t="inlineStr">
        <is>
          <t>Yes</t>
        </is>
      </c>
      <c r="I1012" t="inlineStr">
        <is>
          <t>1</t>
        </is>
      </c>
      <c r="J1012" t="inlineStr">
        <is>
          <t>No</t>
        </is>
      </c>
      <c r="K1012" t="inlineStr">
        <is>
          <t>No</t>
        </is>
      </c>
      <c r="L1012" t="inlineStr">
        <is>
          <t>0</t>
        </is>
      </c>
      <c r="N1012" t="inlineStr">
        <is>
          <t>Washington : Butterworths, 1959-1964</t>
        </is>
      </c>
      <c r="O1012" t="inlineStr">
        <is>
          <t>1959</t>
        </is>
      </c>
      <c r="Q1012" t="inlineStr">
        <is>
          <t>eng</t>
        </is>
      </c>
      <c r="R1012" t="inlineStr">
        <is>
          <t>dcu</t>
        </is>
      </c>
      <c r="T1012" t="inlineStr">
        <is>
          <t xml:space="preserve">W  </t>
        </is>
      </c>
      <c r="U1012" t="n">
        <v>0</v>
      </c>
      <c r="V1012" t="n">
        <v>2</v>
      </c>
      <c r="X1012" t="inlineStr">
        <is>
          <t>1988-05-14</t>
        </is>
      </c>
      <c r="Y1012" t="inlineStr">
        <is>
          <t>1988-02-03</t>
        </is>
      </c>
      <c r="Z1012" t="inlineStr">
        <is>
          <t>1988-02-03</t>
        </is>
      </c>
      <c r="AA1012" t="n">
        <v>20</v>
      </c>
      <c r="AB1012" t="n">
        <v>15</v>
      </c>
      <c r="AC1012" t="n">
        <v>17</v>
      </c>
      <c r="AD1012" t="n">
        <v>1</v>
      </c>
      <c r="AE1012" t="n">
        <v>1</v>
      </c>
      <c r="AF1012" t="n">
        <v>0</v>
      </c>
      <c r="AG1012" t="n">
        <v>0</v>
      </c>
      <c r="AH1012" t="n">
        <v>0</v>
      </c>
      <c r="AI1012" t="n">
        <v>0</v>
      </c>
      <c r="AJ1012" t="n">
        <v>0</v>
      </c>
      <c r="AK1012" t="n">
        <v>0</v>
      </c>
      <c r="AL1012" t="n">
        <v>0</v>
      </c>
      <c r="AM1012" t="n">
        <v>0</v>
      </c>
      <c r="AN1012" t="n">
        <v>0</v>
      </c>
      <c r="AO1012" t="n">
        <v>0</v>
      </c>
      <c r="AP1012" t="n">
        <v>0</v>
      </c>
      <c r="AQ1012" t="n">
        <v>0</v>
      </c>
      <c r="AR1012" t="inlineStr">
        <is>
          <t>No</t>
        </is>
      </c>
      <c r="AS1012" t="inlineStr">
        <is>
          <t>Yes</t>
        </is>
      </c>
      <c r="AT1012">
        <f>HYPERLINK("http://catalog.hathitrust.org/Record/002065708","HathiTrust Record")</f>
        <v/>
      </c>
      <c r="AU1012">
        <f>HYPERLINK("https://creighton-primo.hosted.exlibrisgroup.com/primo-explore/search?tab=default_tab&amp;search_scope=EVERYTHING&amp;vid=01CRU&amp;lang=en_US&amp;offset=0&amp;query=any,contains,991000664739702656","Catalog Record")</f>
        <v/>
      </c>
      <c r="AV1012">
        <f>HYPERLINK("http://www.worldcat.org/oclc/11420760","WorldCat Record")</f>
        <v/>
      </c>
      <c r="AW1012" t="inlineStr">
        <is>
          <t>3377119145:eng</t>
        </is>
      </c>
      <c r="AX1012" t="inlineStr">
        <is>
          <t>11420760</t>
        </is>
      </c>
      <c r="AY1012" t="inlineStr">
        <is>
          <t>991000664739702656</t>
        </is>
      </c>
      <c r="AZ1012" t="inlineStr">
        <is>
          <t>991000664739702656</t>
        </is>
      </c>
      <c r="BA1012" t="inlineStr">
        <is>
          <t>2266113930002656</t>
        </is>
      </c>
      <c r="BB1012" t="inlineStr">
        <is>
          <t>BOOK</t>
        </is>
      </c>
      <c r="BE1012" t="inlineStr">
        <is>
          <t>30001000689481</t>
        </is>
      </c>
      <c r="BF1012" t="inlineStr">
        <is>
          <t>893283329</t>
        </is>
      </c>
    </row>
    <row r="1013">
      <c r="A1013" t="inlineStr">
        <is>
          <t>No</t>
        </is>
      </c>
      <c r="B1013" t="inlineStr">
        <is>
          <t>CUHSL</t>
        </is>
      </c>
      <c r="C1013" t="inlineStr">
        <is>
          <t>SHELVES</t>
        </is>
      </c>
      <c r="D1013" t="inlineStr">
        <is>
          <t>W 700 C168t</t>
        </is>
      </c>
      <c r="E1013" t="inlineStr">
        <is>
          <t>0                      W  0700000C  168t</t>
        </is>
      </c>
      <c r="F1013" t="inlineStr">
        <is>
          <t>Traumatic medicine and surgery / editor in chief, Paul David Cantor.</t>
        </is>
      </c>
      <c r="G1013" t="inlineStr">
        <is>
          <t>V. 8</t>
        </is>
      </c>
      <c r="H1013" t="inlineStr">
        <is>
          <t>Yes</t>
        </is>
      </c>
      <c r="I1013" t="inlineStr">
        <is>
          <t>1</t>
        </is>
      </c>
      <c r="J1013" t="inlineStr">
        <is>
          <t>No</t>
        </is>
      </c>
      <c r="K1013" t="inlineStr">
        <is>
          <t>No</t>
        </is>
      </c>
      <c r="L1013" t="inlineStr">
        <is>
          <t>0</t>
        </is>
      </c>
      <c r="N1013" t="inlineStr">
        <is>
          <t>Washington : Butterworths, 1959-1964</t>
        </is>
      </c>
      <c r="O1013" t="inlineStr">
        <is>
          <t>1959</t>
        </is>
      </c>
      <c r="Q1013" t="inlineStr">
        <is>
          <t>eng</t>
        </is>
      </c>
      <c r="R1013" t="inlineStr">
        <is>
          <t>dcu</t>
        </is>
      </c>
      <c r="T1013" t="inlineStr">
        <is>
          <t xml:space="preserve">W  </t>
        </is>
      </c>
      <c r="U1013" t="n">
        <v>0</v>
      </c>
      <c r="V1013" t="n">
        <v>2</v>
      </c>
      <c r="X1013" t="inlineStr">
        <is>
          <t>1988-05-14</t>
        </is>
      </c>
      <c r="Y1013" t="inlineStr">
        <is>
          <t>1988-02-03</t>
        </is>
      </c>
      <c r="Z1013" t="inlineStr">
        <is>
          <t>1988-02-03</t>
        </is>
      </c>
      <c r="AA1013" t="n">
        <v>20</v>
      </c>
      <c r="AB1013" t="n">
        <v>15</v>
      </c>
      <c r="AC1013" t="n">
        <v>17</v>
      </c>
      <c r="AD1013" t="n">
        <v>1</v>
      </c>
      <c r="AE1013" t="n">
        <v>1</v>
      </c>
      <c r="AF1013" t="n">
        <v>0</v>
      </c>
      <c r="AG1013" t="n">
        <v>0</v>
      </c>
      <c r="AH1013" t="n">
        <v>0</v>
      </c>
      <c r="AI1013" t="n">
        <v>0</v>
      </c>
      <c r="AJ1013" t="n">
        <v>0</v>
      </c>
      <c r="AK1013" t="n">
        <v>0</v>
      </c>
      <c r="AL1013" t="n">
        <v>0</v>
      </c>
      <c r="AM1013" t="n">
        <v>0</v>
      </c>
      <c r="AN1013" t="n">
        <v>0</v>
      </c>
      <c r="AO1013" t="n">
        <v>0</v>
      </c>
      <c r="AP1013" t="n">
        <v>0</v>
      </c>
      <c r="AQ1013" t="n">
        <v>0</v>
      </c>
      <c r="AR1013" t="inlineStr">
        <is>
          <t>No</t>
        </is>
      </c>
      <c r="AS1013" t="inlineStr">
        <is>
          <t>Yes</t>
        </is>
      </c>
      <c r="AT1013">
        <f>HYPERLINK("http://catalog.hathitrust.org/Record/002065708","HathiTrust Record")</f>
        <v/>
      </c>
      <c r="AU1013">
        <f>HYPERLINK("https://creighton-primo.hosted.exlibrisgroup.com/primo-explore/search?tab=default_tab&amp;search_scope=EVERYTHING&amp;vid=01CRU&amp;lang=en_US&amp;offset=0&amp;query=any,contains,991000664739702656","Catalog Record")</f>
        <v/>
      </c>
      <c r="AV1013">
        <f>HYPERLINK("http://www.worldcat.org/oclc/11420760","WorldCat Record")</f>
        <v/>
      </c>
      <c r="AW1013" t="inlineStr">
        <is>
          <t>3377119145:eng</t>
        </is>
      </c>
      <c r="AX1013" t="inlineStr">
        <is>
          <t>11420760</t>
        </is>
      </c>
      <c r="AY1013" t="inlineStr">
        <is>
          <t>991000664739702656</t>
        </is>
      </c>
      <c r="AZ1013" t="inlineStr">
        <is>
          <t>991000664739702656</t>
        </is>
      </c>
      <c r="BA1013" t="inlineStr">
        <is>
          <t>2266113930002656</t>
        </is>
      </c>
      <c r="BB1013" t="inlineStr">
        <is>
          <t>BOOK</t>
        </is>
      </c>
      <c r="BE1013" t="inlineStr">
        <is>
          <t>30001000689473</t>
        </is>
      </c>
      <c r="BF1013" t="inlineStr">
        <is>
          <t>893277876</t>
        </is>
      </c>
    </row>
    <row r="1014">
      <c r="A1014" t="inlineStr">
        <is>
          <t>No</t>
        </is>
      </c>
      <c r="B1014" t="inlineStr">
        <is>
          <t>CUHSL</t>
        </is>
      </c>
      <c r="C1014" t="inlineStr">
        <is>
          <t>SHELVES</t>
        </is>
      </c>
      <c r="D1014" t="inlineStr">
        <is>
          <t>W 700 C168t</t>
        </is>
      </c>
      <c r="E1014" t="inlineStr">
        <is>
          <t>0                      W  0700000C  168t</t>
        </is>
      </c>
      <c r="F1014" t="inlineStr">
        <is>
          <t>Traumatic medicine and surgery / editor in chief, Paul David Cantor.</t>
        </is>
      </c>
      <c r="G1014" t="inlineStr">
        <is>
          <t>V. 2</t>
        </is>
      </c>
      <c r="H1014" t="inlineStr">
        <is>
          <t>Yes</t>
        </is>
      </c>
      <c r="I1014" t="inlineStr">
        <is>
          <t>1</t>
        </is>
      </c>
      <c r="J1014" t="inlineStr">
        <is>
          <t>No</t>
        </is>
      </c>
      <c r="K1014" t="inlineStr">
        <is>
          <t>No</t>
        </is>
      </c>
      <c r="L1014" t="inlineStr">
        <is>
          <t>0</t>
        </is>
      </c>
      <c r="N1014" t="inlineStr">
        <is>
          <t>Washington : Butterworths, 1959-1964</t>
        </is>
      </c>
      <c r="O1014" t="inlineStr">
        <is>
          <t>1959</t>
        </is>
      </c>
      <c r="Q1014" t="inlineStr">
        <is>
          <t>eng</t>
        </is>
      </c>
      <c r="R1014" t="inlineStr">
        <is>
          <t>dcu</t>
        </is>
      </c>
      <c r="T1014" t="inlineStr">
        <is>
          <t xml:space="preserve">W  </t>
        </is>
      </c>
      <c r="U1014" t="n">
        <v>0</v>
      </c>
      <c r="V1014" t="n">
        <v>2</v>
      </c>
      <c r="X1014" t="inlineStr">
        <is>
          <t>1988-05-14</t>
        </is>
      </c>
      <c r="Y1014" t="inlineStr">
        <is>
          <t>1988-02-03</t>
        </is>
      </c>
      <c r="Z1014" t="inlineStr">
        <is>
          <t>1988-02-03</t>
        </is>
      </c>
      <c r="AA1014" t="n">
        <v>20</v>
      </c>
      <c r="AB1014" t="n">
        <v>15</v>
      </c>
      <c r="AC1014" t="n">
        <v>17</v>
      </c>
      <c r="AD1014" t="n">
        <v>1</v>
      </c>
      <c r="AE1014" t="n">
        <v>1</v>
      </c>
      <c r="AF1014" t="n">
        <v>0</v>
      </c>
      <c r="AG1014" t="n">
        <v>0</v>
      </c>
      <c r="AH1014" t="n">
        <v>0</v>
      </c>
      <c r="AI1014" t="n">
        <v>0</v>
      </c>
      <c r="AJ1014" t="n">
        <v>0</v>
      </c>
      <c r="AK1014" t="n">
        <v>0</v>
      </c>
      <c r="AL1014" t="n">
        <v>0</v>
      </c>
      <c r="AM1014" t="n">
        <v>0</v>
      </c>
      <c r="AN1014" t="n">
        <v>0</v>
      </c>
      <c r="AO1014" t="n">
        <v>0</v>
      </c>
      <c r="AP1014" t="n">
        <v>0</v>
      </c>
      <c r="AQ1014" t="n">
        <v>0</v>
      </c>
      <c r="AR1014" t="inlineStr">
        <is>
          <t>No</t>
        </is>
      </c>
      <c r="AS1014" t="inlineStr">
        <is>
          <t>Yes</t>
        </is>
      </c>
      <c r="AT1014">
        <f>HYPERLINK("http://catalog.hathitrust.org/Record/002065708","HathiTrust Record")</f>
        <v/>
      </c>
      <c r="AU1014">
        <f>HYPERLINK("https://creighton-primo.hosted.exlibrisgroup.com/primo-explore/search?tab=default_tab&amp;search_scope=EVERYTHING&amp;vid=01CRU&amp;lang=en_US&amp;offset=0&amp;query=any,contains,991000664739702656","Catalog Record")</f>
        <v/>
      </c>
      <c r="AV1014">
        <f>HYPERLINK("http://www.worldcat.org/oclc/11420760","WorldCat Record")</f>
        <v/>
      </c>
      <c r="AW1014" t="inlineStr">
        <is>
          <t>3377119145:eng</t>
        </is>
      </c>
      <c r="AX1014" t="inlineStr">
        <is>
          <t>11420760</t>
        </is>
      </c>
      <c r="AY1014" t="inlineStr">
        <is>
          <t>991000664739702656</t>
        </is>
      </c>
      <c r="AZ1014" t="inlineStr">
        <is>
          <t>991000664739702656</t>
        </is>
      </c>
      <c r="BA1014" t="inlineStr">
        <is>
          <t>2266113930002656</t>
        </is>
      </c>
      <c r="BB1014" t="inlineStr">
        <is>
          <t>BOOK</t>
        </is>
      </c>
      <c r="BE1014" t="inlineStr">
        <is>
          <t>30001000689416</t>
        </is>
      </c>
      <c r="BF1014" t="inlineStr">
        <is>
          <t>893286818</t>
        </is>
      </c>
    </row>
    <row r="1015">
      <c r="A1015" t="inlineStr">
        <is>
          <t>No</t>
        </is>
      </c>
      <c r="B1015" t="inlineStr">
        <is>
          <t>CUHSL</t>
        </is>
      </c>
      <c r="C1015" t="inlineStr">
        <is>
          <t>SHELVES</t>
        </is>
      </c>
      <c r="D1015" t="inlineStr">
        <is>
          <t>W 700 C168t</t>
        </is>
      </c>
      <c r="E1015" t="inlineStr">
        <is>
          <t>0                      W  0700000C  168t</t>
        </is>
      </c>
      <c r="F1015" t="inlineStr">
        <is>
          <t>Traumatic medicine and surgery / editor in chief, Paul David Cantor.</t>
        </is>
      </c>
      <c r="G1015" t="inlineStr">
        <is>
          <t>V. 4</t>
        </is>
      </c>
      <c r="H1015" t="inlineStr">
        <is>
          <t>Yes</t>
        </is>
      </c>
      <c r="I1015" t="inlineStr">
        <is>
          <t>1</t>
        </is>
      </c>
      <c r="J1015" t="inlineStr">
        <is>
          <t>No</t>
        </is>
      </c>
      <c r="K1015" t="inlineStr">
        <is>
          <t>No</t>
        </is>
      </c>
      <c r="L1015" t="inlineStr">
        <is>
          <t>0</t>
        </is>
      </c>
      <c r="N1015" t="inlineStr">
        <is>
          <t>Washington : Butterworths, 1959-1964</t>
        </is>
      </c>
      <c r="O1015" t="inlineStr">
        <is>
          <t>1959</t>
        </is>
      </c>
      <c r="Q1015" t="inlineStr">
        <is>
          <t>eng</t>
        </is>
      </c>
      <c r="R1015" t="inlineStr">
        <is>
          <t>dcu</t>
        </is>
      </c>
      <c r="T1015" t="inlineStr">
        <is>
          <t xml:space="preserve">W  </t>
        </is>
      </c>
      <c r="U1015" t="n">
        <v>0</v>
      </c>
      <c r="V1015" t="n">
        <v>2</v>
      </c>
      <c r="X1015" t="inlineStr">
        <is>
          <t>1988-05-14</t>
        </is>
      </c>
      <c r="Y1015" t="inlineStr">
        <is>
          <t>1988-02-03</t>
        </is>
      </c>
      <c r="Z1015" t="inlineStr">
        <is>
          <t>1988-02-03</t>
        </is>
      </c>
      <c r="AA1015" t="n">
        <v>20</v>
      </c>
      <c r="AB1015" t="n">
        <v>15</v>
      </c>
      <c r="AC1015" t="n">
        <v>17</v>
      </c>
      <c r="AD1015" t="n">
        <v>1</v>
      </c>
      <c r="AE1015" t="n">
        <v>1</v>
      </c>
      <c r="AF1015" t="n">
        <v>0</v>
      </c>
      <c r="AG1015" t="n">
        <v>0</v>
      </c>
      <c r="AH1015" t="n">
        <v>0</v>
      </c>
      <c r="AI1015" t="n">
        <v>0</v>
      </c>
      <c r="AJ1015" t="n">
        <v>0</v>
      </c>
      <c r="AK1015" t="n">
        <v>0</v>
      </c>
      <c r="AL1015" t="n">
        <v>0</v>
      </c>
      <c r="AM1015" t="n">
        <v>0</v>
      </c>
      <c r="AN1015" t="n">
        <v>0</v>
      </c>
      <c r="AO1015" t="n">
        <v>0</v>
      </c>
      <c r="AP1015" t="n">
        <v>0</v>
      </c>
      <c r="AQ1015" t="n">
        <v>0</v>
      </c>
      <c r="AR1015" t="inlineStr">
        <is>
          <t>No</t>
        </is>
      </c>
      <c r="AS1015" t="inlineStr">
        <is>
          <t>Yes</t>
        </is>
      </c>
      <c r="AT1015">
        <f>HYPERLINK("http://catalog.hathitrust.org/Record/002065708","HathiTrust Record")</f>
        <v/>
      </c>
      <c r="AU1015">
        <f>HYPERLINK("https://creighton-primo.hosted.exlibrisgroup.com/primo-explore/search?tab=default_tab&amp;search_scope=EVERYTHING&amp;vid=01CRU&amp;lang=en_US&amp;offset=0&amp;query=any,contains,991000664739702656","Catalog Record")</f>
        <v/>
      </c>
      <c r="AV1015">
        <f>HYPERLINK("http://www.worldcat.org/oclc/11420760","WorldCat Record")</f>
        <v/>
      </c>
      <c r="AW1015" t="inlineStr">
        <is>
          <t>3377119145:eng</t>
        </is>
      </c>
      <c r="AX1015" t="inlineStr">
        <is>
          <t>11420760</t>
        </is>
      </c>
      <c r="AY1015" t="inlineStr">
        <is>
          <t>991000664739702656</t>
        </is>
      </c>
      <c r="AZ1015" t="inlineStr">
        <is>
          <t>991000664739702656</t>
        </is>
      </c>
      <c r="BA1015" t="inlineStr">
        <is>
          <t>2266113930002656</t>
        </is>
      </c>
      <c r="BB1015" t="inlineStr">
        <is>
          <t>BOOK</t>
        </is>
      </c>
      <c r="BE1015" t="inlineStr">
        <is>
          <t>30001000689432</t>
        </is>
      </c>
      <c r="BF1015" t="inlineStr">
        <is>
          <t>893277878</t>
        </is>
      </c>
    </row>
    <row r="1016">
      <c r="A1016" t="inlineStr">
        <is>
          <t>No</t>
        </is>
      </c>
      <c r="B1016" t="inlineStr">
        <is>
          <t>CUHSL</t>
        </is>
      </c>
      <c r="C1016" t="inlineStr">
        <is>
          <t>SHELVES</t>
        </is>
      </c>
      <c r="D1016" t="inlineStr">
        <is>
          <t>W 700 C168t</t>
        </is>
      </c>
      <c r="E1016" t="inlineStr">
        <is>
          <t>0                      W  0700000C  168t</t>
        </is>
      </c>
      <c r="F1016" t="inlineStr">
        <is>
          <t>Traumatic medicine and surgery / editor in chief, Paul David Cantor.</t>
        </is>
      </c>
      <c r="G1016" t="inlineStr">
        <is>
          <t>V. 1</t>
        </is>
      </c>
      <c r="H1016" t="inlineStr">
        <is>
          <t>Yes</t>
        </is>
      </c>
      <c r="I1016" t="inlineStr">
        <is>
          <t>1</t>
        </is>
      </c>
      <c r="J1016" t="inlineStr">
        <is>
          <t>No</t>
        </is>
      </c>
      <c r="K1016" t="inlineStr">
        <is>
          <t>No</t>
        </is>
      </c>
      <c r="L1016" t="inlineStr">
        <is>
          <t>0</t>
        </is>
      </c>
      <c r="N1016" t="inlineStr">
        <is>
          <t>Washington : Butterworths, 1959-1964</t>
        </is>
      </c>
      <c r="O1016" t="inlineStr">
        <is>
          <t>1959</t>
        </is>
      </c>
      <c r="Q1016" t="inlineStr">
        <is>
          <t>eng</t>
        </is>
      </c>
      <c r="R1016" t="inlineStr">
        <is>
          <t>dcu</t>
        </is>
      </c>
      <c r="T1016" t="inlineStr">
        <is>
          <t xml:space="preserve">W  </t>
        </is>
      </c>
      <c r="U1016" t="n">
        <v>1</v>
      </c>
      <c r="V1016" t="n">
        <v>2</v>
      </c>
      <c r="X1016" t="inlineStr">
        <is>
          <t>1988-05-14</t>
        </is>
      </c>
      <c r="Y1016" t="inlineStr">
        <is>
          <t>1988-02-03</t>
        </is>
      </c>
      <c r="Z1016" t="inlineStr">
        <is>
          <t>1988-02-03</t>
        </is>
      </c>
      <c r="AA1016" t="n">
        <v>20</v>
      </c>
      <c r="AB1016" t="n">
        <v>15</v>
      </c>
      <c r="AC1016" t="n">
        <v>17</v>
      </c>
      <c r="AD1016" t="n">
        <v>1</v>
      </c>
      <c r="AE1016" t="n">
        <v>1</v>
      </c>
      <c r="AF1016" t="n">
        <v>0</v>
      </c>
      <c r="AG1016" t="n">
        <v>0</v>
      </c>
      <c r="AH1016" t="n">
        <v>0</v>
      </c>
      <c r="AI1016" t="n">
        <v>0</v>
      </c>
      <c r="AJ1016" t="n">
        <v>0</v>
      </c>
      <c r="AK1016" t="n">
        <v>0</v>
      </c>
      <c r="AL1016" t="n">
        <v>0</v>
      </c>
      <c r="AM1016" t="n">
        <v>0</v>
      </c>
      <c r="AN1016" t="n">
        <v>0</v>
      </c>
      <c r="AO1016" t="n">
        <v>0</v>
      </c>
      <c r="AP1016" t="n">
        <v>0</v>
      </c>
      <c r="AQ1016" t="n">
        <v>0</v>
      </c>
      <c r="AR1016" t="inlineStr">
        <is>
          <t>No</t>
        </is>
      </c>
      <c r="AS1016" t="inlineStr">
        <is>
          <t>Yes</t>
        </is>
      </c>
      <c r="AT1016">
        <f>HYPERLINK("http://catalog.hathitrust.org/Record/002065708","HathiTrust Record")</f>
        <v/>
      </c>
      <c r="AU1016">
        <f>HYPERLINK("https://creighton-primo.hosted.exlibrisgroup.com/primo-explore/search?tab=default_tab&amp;search_scope=EVERYTHING&amp;vid=01CRU&amp;lang=en_US&amp;offset=0&amp;query=any,contains,991000664739702656","Catalog Record")</f>
        <v/>
      </c>
      <c r="AV1016">
        <f>HYPERLINK("http://www.worldcat.org/oclc/11420760","WorldCat Record")</f>
        <v/>
      </c>
      <c r="AW1016" t="inlineStr">
        <is>
          <t>3377119145:eng</t>
        </is>
      </c>
      <c r="AX1016" t="inlineStr">
        <is>
          <t>11420760</t>
        </is>
      </c>
      <c r="AY1016" t="inlineStr">
        <is>
          <t>991000664739702656</t>
        </is>
      </c>
      <c r="AZ1016" t="inlineStr">
        <is>
          <t>991000664739702656</t>
        </is>
      </c>
      <c r="BA1016" t="inlineStr">
        <is>
          <t>2266113930002656</t>
        </is>
      </c>
      <c r="BB1016" t="inlineStr">
        <is>
          <t>BOOK</t>
        </is>
      </c>
      <c r="BE1016" t="inlineStr">
        <is>
          <t>30001000689408</t>
        </is>
      </c>
      <c r="BF1016" t="inlineStr">
        <is>
          <t>893283333</t>
        </is>
      </c>
    </row>
    <row r="1017">
      <c r="A1017" t="inlineStr">
        <is>
          <t>No</t>
        </is>
      </c>
      <c r="B1017" t="inlineStr">
        <is>
          <t>CUHSL</t>
        </is>
      </c>
      <c r="C1017" t="inlineStr">
        <is>
          <t>SHELVES</t>
        </is>
      </c>
      <c r="D1017" t="inlineStr">
        <is>
          <t>W700 D582f 2001</t>
        </is>
      </c>
      <c r="E1017" t="inlineStr">
        <is>
          <t>0                      W  0700000D  582f        2001</t>
        </is>
      </c>
      <c r="F1017" t="inlineStr">
        <is>
          <t>Forensic pathology / Vincent J. Di Maio, Dominick Di Maio.</t>
        </is>
      </c>
      <c r="H1017" t="inlineStr">
        <is>
          <t>No</t>
        </is>
      </c>
      <c r="I1017" t="inlineStr">
        <is>
          <t>1</t>
        </is>
      </c>
      <c r="J1017" t="inlineStr">
        <is>
          <t>No</t>
        </is>
      </c>
      <c r="K1017" t="inlineStr">
        <is>
          <t>No</t>
        </is>
      </c>
      <c r="L1017" t="inlineStr">
        <is>
          <t>0</t>
        </is>
      </c>
      <c r="M1017" t="inlineStr">
        <is>
          <t>Di Maio, Vincent J. M., 1941-</t>
        </is>
      </c>
      <c r="N1017" t="inlineStr">
        <is>
          <t>Boca Raton : CRC Press, c2001.</t>
        </is>
      </c>
      <c r="O1017" t="inlineStr">
        <is>
          <t>2001</t>
        </is>
      </c>
      <c r="P1017" t="inlineStr">
        <is>
          <t>2nd ed.</t>
        </is>
      </c>
      <c r="Q1017" t="inlineStr">
        <is>
          <t>eng</t>
        </is>
      </c>
      <c r="R1017" t="inlineStr">
        <is>
          <t>flu</t>
        </is>
      </c>
      <c r="S1017" t="inlineStr">
        <is>
          <t>CRC series in practical aspects of criminal and forensic investigations</t>
        </is>
      </c>
      <c r="T1017" t="inlineStr">
        <is>
          <t xml:space="preserve">W  </t>
        </is>
      </c>
      <c r="U1017" t="n">
        <v>5</v>
      </c>
      <c r="V1017" t="n">
        <v>5</v>
      </c>
      <c r="W1017" t="inlineStr">
        <is>
          <t>2009-02-17</t>
        </is>
      </c>
      <c r="X1017" t="inlineStr">
        <is>
          <t>2009-02-17</t>
        </is>
      </c>
      <c r="Y1017" t="inlineStr">
        <is>
          <t>2008-02-14</t>
        </is>
      </c>
      <c r="Z1017" t="inlineStr">
        <is>
          <t>2008-02-14</t>
        </is>
      </c>
      <c r="AA1017" t="n">
        <v>318</v>
      </c>
      <c r="AB1017" t="n">
        <v>222</v>
      </c>
      <c r="AC1017" t="n">
        <v>445</v>
      </c>
      <c r="AD1017" t="n">
        <v>3</v>
      </c>
      <c r="AE1017" t="n">
        <v>5</v>
      </c>
      <c r="AF1017" t="n">
        <v>11</v>
      </c>
      <c r="AG1017" t="n">
        <v>18</v>
      </c>
      <c r="AH1017" t="n">
        <v>2</v>
      </c>
      <c r="AI1017" t="n">
        <v>3</v>
      </c>
      <c r="AJ1017" t="n">
        <v>2</v>
      </c>
      <c r="AK1017" t="n">
        <v>2</v>
      </c>
      <c r="AL1017" t="n">
        <v>6</v>
      </c>
      <c r="AM1017" t="n">
        <v>9</v>
      </c>
      <c r="AN1017" t="n">
        <v>2</v>
      </c>
      <c r="AO1017" t="n">
        <v>4</v>
      </c>
      <c r="AP1017" t="n">
        <v>1</v>
      </c>
      <c r="AQ1017" t="n">
        <v>3</v>
      </c>
      <c r="AR1017" t="inlineStr">
        <is>
          <t>No</t>
        </is>
      </c>
      <c r="AS1017" t="inlineStr">
        <is>
          <t>No</t>
        </is>
      </c>
      <c r="AU1017">
        <f>HYPERLINK("https://creighton-primo.hosted.exlibrisgroup.com/primo-explore/search?tab=default_tab&amp;search_scope=EVERYTHING&amp;vid=01CRU&amp;lang=en_US&amp;offset=0&amp;query=any,contains,991000679379702656","Catalog Record")</f>
        <v/>
      </c>
      <c r="AV1017">
        <f>HYPERLINK("http://www.worldcat.org/oclc/46548277","WorldCat Record")</f>
        <v/>
      </c>
      <c r="AW1017" t="inlineStr">
        <is>
          <t>396559:eng</t>
        </is>
      </c>
      <c r="AX1017" t="inlineStr">
        <is>
          <t>46548277</t>
        </is>
      </c>
      <c r="AY1017" t="inlineStr">
        <is>
          <t>991000679379702656</t>
        </is>
      </c>
      <c r="AZ1017" t="inlineStr">
        <is>
          <t>991000679379702656</t>
        </is>
      </c>
      <c r="BA1017" t="inlineStr">
        <is>
          <t>2268478420002656</t>
        </is>
      </c>
      <c r="BB1017" t="inlineStr">
        <is>
          <t>BOOK</t>
        </is>
      </c>
      <c r="BD1017" t="inlineStr">
        <is>
          <t>9780849300721</t>
        </is>
      </c>
      <c r="BE1017" t="inlineStr">
        <is>
          <t>30001005271046</t>
        </is>
      </c>
      <c r="BF1017" t="inlineStr">
        <is>
          <t>893540217</t>
        </is>
      </c>
    </row>
    <row r="1018">
      <c r="A1018" t="inlineStr">
        <is>
          <t>No</t>
        </is>
      </c>
      <c r="B1018" t="inlineStr">
        <is>
          <t>CUHSL</t>
        </is>
      </c>
      <c r="C1018" t="inlineStr">
        <is>
          <t>SHELVES</t>
        </is>
      </c>
      <c r="D1018" t="inlineStr">
        <is>
          <t>W 700 G662f 1988</t>
        </is>
      </c>
      <c r="E1018" t="inlineStr">
        <is>
          <t>0                      W  0700000G  662f        1988</t>
        </is>
      </c>
      <c r="F1018" t="inlineStr">
        <is>
          <t>Forensic medicine : a guide to principles / I. Gordon, H.A. Shapiro, S.D. Berson.</t>
        </is>
      </c>
      <c r="H1018" t="inlineStr">
        <is>
          <t>No</t>
        </is>
      </c>
      <c r="I1018" t="inlineStr">
        <is>
          <t>1</t>
        </is>
      </c>
      <c r="J1018" t="inlineStr">
        <is>
          <t>No</t>
        </is>
      </c>
      <c r="K1018" t="inlineStr">
        <is>
          <t>No</t>
        </is>
      </c>
      <c r="L1018" t="inlineStr">
        <is>
          <t>0</t>
        </is>
      </c>
      <c r="M1018" t="inlineStr">
        <is>
          <t>Gordon, I. (Isidor)</t>
        </is>
      </c>
      <c r="N1018" t="inlineStr">
        <is>
          <t>Edinburgh ; New York : Churchill Livingstone, 1988.</t>
        </is>
      </c>
      <c r="O1018" t="inlineStr">
        <is>
          <t>1988</t>
        </is>
      </c>
      <c r="P1018" t="inlineStr">
        <is>
          <t>3rd ed.</t>
        </is>
      </c>
      <c r="Q1018" t="inlineStr">
        <is>
          <t>eng</t>
        </is>
      </c>
      <c r="R1018" t="inlineStr">
        <is>
          <t>stk</t>
        </is>
      </c>
      <c r="T1018" t="inlineStr">
        <is>
          <t xml:space="preserve">W  </t>
        </is>
      </c>
      <c r="U1018" t="n">
        <v>11</v>
      </c>
      <c r="V1018" t="n">
        <v>11</v>
      </c>
      <c r="W1018" t="inlineStr">
        <is>
          <t>1994-11-11</t>
        </is>
      </c>
      <c r="X1018" t="inlineStr">
        <is>
          <t>1994-11-11</t>
        </is>
      </c>
      <c r="Y1018" t="inlineStr">
        <is>
          <t>1988-08-04</t>
        </is>
      </c>
      <c r="Z1018" t="inlineStr">
        <is>
          <t>1988-08-04</t>
        </is>
      </c>
      <c r="AA1018" t="n">
        <v>137</v>
      </c>
      <c r="AB1018" t="n">
        <v>69</v>
      </c>
      <c r="AC1018" t="n">
        <v>147</v>
      </c>
      <c r="AD1018" t="n">
        <v>1</v>
      </c>
      <c r="AE1018" t="n">
        <v>1</v>
      </c>
      <c r="AF1018" t="n">
        <v>0</v>
      </c>
      <c r="AG1018" t="n">
        <v>3</v>
      </c>
      <c r="AH1018" t="n">
        <v>0</v>
      </c>
      <c r="AI1018" t="n">
        <v>0</v>
      </c>
      <c r="AJ1018" t="n">
        <v>0</v>
      </c>
      <c r="AK1018" t="n">
        <v>0</v>
      </c>
      <c r="AL1018" t="n">
        <v>0</v>
      </c>
      <c r="AM1018" t="n">
        <v>0</v>
      </c>
      <c r="AN1018" t="n">
        <v>0</v>
      </c>
      <c r="AO1018" t="n">
        <v>0</v>
      </c>
      <c r="AP1018" t="n">
        <v>0</v>
      </c>
      <c r="AQ1018" t="n">
        <v>3</v>
      </c>
      <c r="AR1018" t="inlineStr">
        <is>
          <t>No</t>
        </is>
      </c>
      <c r="AS1018" t="inlineStr">
        <is>
          <t>No</t>
        </is>
      </c>
      <c r="AU1018">
        <f>HYPERLINK("https://creighton-primo.hosted.exlibrisgroup.com/primo-explore/search?tab=default_tab&amp;search_scope=EVERYTHING&amp;vid=01CRU&amp;lang=en_US&amp;offset=0&amp;query=any,contains,991001419959702656","Catalog Record")</f>
        <v/>
      </c>
      <c r="AV1018">
        <f>HYPERLINK("http://www.worldcat.org/oclc/16526391","WorldCat Record")</f>
        <v/>
      </c>
      <c r="AW1018" t="inlineStr">
        <is>
          <t>198969793:eng</t>
        </is>
      </c>
      <c r="AX1018" t="inlineStr">
        <is>
          <t>16526391</t>
        </is>
      </c>
      <c r="AY1018" t="inlineStr">
        <is>
          <t>991001419959702656</t>
        </is>
      </c>
      <c r="AZ1018" t="inlineStr">
        <is>
          <t>991001419959702656</t>
        </is>
      </c>
      <c r="BA1018" t="inlineStr">
        <is>
          <t>2263660760002656</t>
        </is>
      </c>
      <c r="BB1018" t="inlineStr">
        <is>
          <t>BOOK</t>
        </is>
      </c>
      <c r="BD1018" t="inlineStr">
        <is>
          <t>9780443034404</t>
        </is>
      </c>
      <c r="BE1018" t="inlineStr">
        <is>
          <t>30001001181918</t>
        </is>
      </c>
      <c r="BF1018" t="inlineStr">
        <is>
          <t>893465508</t>
        </is>
      </c>
    </row>
    <row r="1019">
      <c r="A1019" t="inlineStr">
        <is>
          <t>No</t>
        </is>
      </c>
      <c r="B1019" t="inlineStr">
        <is>
          <t>CUHSL</t>
        </is>
      </c>
      <c r="C1019" t="inlineStr">
        <is>
          <t>SHELVES</t>
        </is>
      </c>
      <c r="D1019" t="inlineStr">
        <is>
          <t>W 700 L487f 1988</t>
        </is>
      </c>
      <c r="E1019" t="inlineStr">
        <is>
          <t>0                      W  0700000L  487f        1988</t>
        </is>
      </c>
      <c r="F1019" t="inlineStr">
        <is>
          <t>Forensic neuropathology / Jan E. Leestma.</t>
        </is>
      </c>
      <c r="H1019" t="inlineStr">
        <is>
          <t>No</t>
        </is>
      </c>
      <c r="I1019" t="inlineStr">
        <is>
          <t>1</t>
        </is>
      </c>
      <c r="J1019" t="inlineStr">
        <is>
          <t>No</t>
        </is>
      </c>
      <c r="K1019" t="inlineStr">
        <is>
          <t>No</t>
        </is>
      </c>
      <c r="L1019" t="inlineStr">
        <is>
          <t>0</t>
        </is>
      </c>
      <c r="M1019" t="inlineStr">
        <is>
          <t>Leestma, Jan E.</t>
        </is>
      </c>
      <c r="N1019" t="inlineStr">
        <is>
          <t>New York : Raven Press, c1988.</t>
        </is>
      </c>
      <c r="O1019" t="inlineStr">
        <is>
          <t>1988</t>
        </is>
      </c>
      <c r="Q1019" t="inlineStr">
        <is>
          <t>eng</t>
        </is>
      </c>
      <c r="R1019" t="inlineStr">
        <is>
          <t>xxu</t>
        </is>
      </c>
      <c r="T1019" t="inlineStr">
        <is>
          <t xml:space="preserve">W  </t>
        </is>
      </c>
      <c r="U1019" t="n">
        <v>13</v>
      </c>
      <c r="V1019" t="n">
        <v>13</v>
      </c>
      <c r="W1019" t="inlineStr">
        <is>
          <t>2004-10-24</t>
        </is>
      </c>
      <c r="X1019" t="inlineStr">
        <is>
          <t>2004-10-24</t>
        </is>
      </c>
      <c r="Y1019" t="inlineStr">
        <is>
          <t>1988-04-20</t>
        </is>
      </c>
      <c r="Z1019" t="inlineStr">
        <is>
          <t>1988-04-20</t>
        </is>
      </c>
      <c r="AA1019" t="n">
        <v>103</v>
      </c>
      <c r="AB1019" t="n">
        <v>63</v>
      </c>
      <c r="AC1019" t="n">
        <v>151</v>
      </c>
      <c r="AD1019" t="n">
        <v>1</v>
      </c>
      <c r="AE1019" t="n">
        <v>3</v>
      </c>
      <c r="AF1019" t="n">
        <v>0</v>
      </c>
      <c r="AG1019" t="n">
        <v>4</v>
      </c>
      <c r="AH1019" t="n">
        <v>0</v>
      </c>
      <c r="AI1019" t="n">
        <v>0</v>
      </c>
      <c r="AJ1019" t="n">
        <v>0</v>
      </c>
      <c r="AK1019" t="n">
        <v>1</v>
      </c>
      <c r="AL1019" t="n">
        <v>0</v>
      </c>
      <c r="AM1019" t="n">
        <v>2</v>
      </c>
      <c r="AN1019" t="n">
        <v>0</v>
      </c>
      <c r="AO1019" t="n">
        <v>2</v>
      </c>
      <c r="AP1019" t="n">
        <v>0</v>
      </c>
      <c r="AQ1019" t="n">
        <v>0</v>
      </c>
      <c r="AR1019" t="inlineStr">
        <is>
          <t>No</t>
        </is>
      </c>
      <c r="AS1019" t="inlineStr">
        <is>
          <t>Yes</t>
        </is>
      </c>
      <c r="AT1019">
        <f>HYPERLINK("http://catalog.hathitrust.org/Record/000872509","HathiTrust Record")</f>
        <v/>
      </c>
      <c r="AU1019">
        <f>HYPERLINK("https://creighton-primo.hosted.exlibrisgroup.com/primo-explore/search?tab=default_tab&amp;search_scope=EVERYTHING&amp;vid=01CRU&amp;lang=en_US&amp;offset=0&amp;query=any,contains,991001184699702656","Catalog Record")</f>
        <v/>
      </c>
      <c r="AV1019">
        <f>HYPERLINK("http://www.worldcat.org/oclc/15858504","WorldCat Record")</f>
        <v/>
      </c>
      <c r="AW1019" t="inlineStr">
        <is>
          <t>11008345:eng</t>
        </is>
      </c>
      <c r="AX1019" t="inlineStr">
        <is>
          <t>15858504</t>
        </is>
      </c>
      <c r="AY1019" t="inlineStr">
        <is>
          <t>991001184699702656</t>
        </is>
      </c>
      <c r="AZ1019" t="inlineStr">
        <is>
          <t>991001184699702656</t>
        </is>
      </c>
      <c r="BA1019" t="inlineStr">
        <is>
          <t>2259036040002656</t>
        </is>
      </c>
      <c r="BB1019" t="inlineStr">
        <is>
          <t>BOOK</t>
        </is>
      </c>
      <c r="BD1019" t="inlineStr">
        <is>
          <t>9780881673388</t>
        </is>
      </c>
      <c r="BE1019" t="inlineStr">
        <is>
          <t>30001000977704</t>
        </is>
      </c>
      <c r="BF1019" t="inlineStr">
        <is>
          <t>893278849</t>
        </is>
      </c>
    </row>
    <row r="1020">
      <c r="A1020" t="inlineStr">
        <is>
          <t>No</t>
        </is>
      </c>
      <c r="B1020" t="inlineStr">
        <is>
          <t>CUHSL</t>
        </is>
      </c>
      <c r="C1020" t="inlineStr">
        <is>
          <t>SHELVES</t>
        </is>
      </c>
      <c r="D1020" t="inlineStr">
        <is>
          <t>W 700 T85f 1949</t>
        </is>
      </c>
      <c r="E1020" t="inlineStr">
        <is>
          <t>0                      W  0700000T  85f         1949</t>
        </is>
      </c>
      <c r="F1020" t="inlineStr">
        <is>
          <t>Forensic science and laboratory technics / Ralph F. Turner.</t>
        </is>
      </c>
      <c r="H1020" t="inlineStr">
        <is>
          <t>No</t>
        </is>
      </c>
      <c r="I1020" t="inlineStr">
        <is>
          <t>1</t>
        </is>
      </c>
      <c r="J1020" t="inlineStr">
        <is>
          <t>No</t>
        </is>
      </c>
      <c r="K1020" t="inlineStr">
        <is>
          <t>No</t>
        </is>
      </c>
      <c r="L1020" t="inlineStr">
        <is>
          <t>0</t>
        </is>
      </c>
      <c r="M1020" t="inlineStr">
        <is>
          <t>Turner, Ralph F.</t>
        </is>
      </c>
      <c r="N1020" t="inlineStr">
        <is>
          <t>Springfield, Ill. : C.C. Thomas, c1949.</t>
        </is>
      </c>
      <c r="O1020" t="inlineStr">
        <is>
          <t>1949</t>
        </is>
      </c>
      <c r="Q1020" t="inlineStr">
        <is>
          <t>eng</t>
        </is>
      </c>
      <c r="R1020" t="inlineStr">
        <is>
          <t>ilu</t>
        </is>
      </c>
      <c r="T1020" t="inlineStr">
        <is>
          <t xml:space="preserve">W  </t>
        </is>
      </c>
      <c r="U1020" t="n">
        <v>3</v>
      </c>
      <c r="V1020" t="n">
        <v>3</v>
      </c>
      <c r="W1020" t="inlineStr">
        <is>
          <t>1998-08-29</t>
        </is>
      </c>
      <c r="X1020" t="inlineStr">
        <is>
          <t>1998-08-29</t>
        </is>
      </c>
      <c r="Y1020" t="inlineStr">
        <is>
          <t>1987-12-30</t>
        </is>
      </c>
      <c r="Z1020" t="inlineStr">
        <is>
          <t>1987-12-30</t>
        </is>
      </c>
      <c r="AA1020" t="n">
        <v>101</v>
      </c>
      <c r="AB1020" t="n">
        <v>92</v>
      </c>
      <c r="AC1020" t="n">
        <v>148</v>
      </c>
      <c r="AD1020" t="n">
        <v>1</v>
      </c>
      <c r="AE1020" t="n">
        <v>1</v>
      </c>
      <c r="AF1020" t="n">
        <v>2</v>
      </c>
      <c r="AG1020" t="n">
        <v>9</v>
      </c>
      <c r="AH1020" t="n">
        <v>1</v>
      </c>
      <c r="AI1020" t="n">
        <v>1</v>
      </c>
      <c r="AJ1020" t="n">
        <v>0</v>
      </c>
      <c r="AK1020" t="n">
        <v>0</v>
      </c>
      <c r="AL1020" t="n">
        <v>0</v>
      </c>
      <c r="AM1020" t="n">
        <v>0</v>
      </c>
      <c r="AN1020" t="n">
        <v>0</v>
      </c>
      <c r="AO1020" t="n">
        <v>0</v>
      </c>
      <c r="AP1020" t="n">
        <v>1</v>
      </c>
      <c r="AQ1020" t="n">
        <v>8</v>
      </c>
      <c r="AR1020" t="inlineStr">
        <is>
          <t>No</t>
        </is>
      </c>
      <c r="AS1020" t="inlineStr">
        <is>
          <t>Yes</t>
        </is>
      </c>
      <c r="AT1020">
        <f>HYPERLINK("http://catalog.hathitrust.org/Record/001581856","HathiTrust Record")</f>
        <v/>
      </c>
      <c r="AU1020">
        <f>HYPERLINK("https://creighton-primo.hosted.exlibrisgroup.com/primo-explore/search?tab=default_tab&amp;search_scope=EVERYTHING&amp;vid=01CRU&amp;lang=en_US&amp;offset=0&amp;query=any,contains,991001544719702656","Catalog Record")</f>
        <v/>
      </c>
      <c r="AV1020">
        <f>HYPERLINK("http://www.worldcat.org/oclc/1117395","WorldCat Record")</f>
        <v/>
      </c>
      <c r="AW1020" t="inlineStr">
        <is>
          <t>2012289:eng</t>
        </is>
      </c>
      <c r="AX1020" t="inlineStr">
        <is>
          <t>1117395</t>
        </is>
      </c>
      <c r="AY1020" t="inlineStr">
        <is>
          <t>991001544719702656</t>
        </is>
      </c>
      <c r="AZ1020" t="inlineStr">
        <is>
          <t>991001544719702656</t>
        </is>
      </c>
      <c r="BA1020" t="inlineStr">
        <is>
          <t>2270842500002656</t>
        </is>
      </c>
      <c r="BB1020" t="inlineStr">
        <is>
          <t>BOOK</t>
        </is>
      </c>
      <c r="BE1020" t="inlineStr">
        <is>
          <t>30001000637126</t>
        </is>
      </c>
      <c r="BF1020" t="inlineStr">
        <is>
          <t>893727752</t>
        </is>
      </c>
    </row>
    <row r="1021">
      <c r="A1021" t="inlineStr">
        <is>
          <t>No</t>
        </is>
      </c>
      <c r="B1021" t="inlineStr">
        <is>
          <t>CUHSL</t>
        </is>
      </c>
      <c r="C1021" t="inlineStr">
        <is>
          <t>SHELVES</t>
        </is>
      </c>
      <c r="D1021" t="inlineStr">
        <is>
          <t>W 705 H236 1987</t>
        </is>
      </c>
      <c r="E1021" t="inlineStr">
        <is>
          <t>0                      W  0705000H  236         1987</t>
        </is>
      </c>
      <c r="F1021" t="inlineStr">
        <is>
          <t>Handbook of dental jurisprudence and risk management / edited by Burton R. Pollack and Oliver C. Schroeder.</t>
        </is>
      </c>
      <c r="H1021" t="inlineStr">
        <is>
          <t>No</t>
        </is>
      </c>
      <c r="I1021" t="inlineStr">
        <is>
          <t>1</t>
        </is>
      </c>
      <c r="J1021" t="inlineStr">
        <is>
          <t>No</t>
        </is>
      </c>
      <c r="K1021" t="inlineStr">
        <is>
          <t>No</t>
        </is>
      </c>
      <c r="L1021" t="inlineStr">
        <is>
          <t>0</t>
        </is>
      </c>
      <c r="N1021" t="inlineStr">
        <is>
          <t>Littleton, Mass. : PSG Pub. Co., c1987.</t>
        </is>
      </c>
      <c r="O1021" t="inlineStr">
        <is>
          <t>1987</t>
        </is>
      </c>
      <c r="Q1021" t="inlineStr">
        <is>
          <t>eng</t>
        </is>
      </c>
      <c r="R1021" t="inlineStr">
        <is>
          <t>xxu</t>
        </is>
      </c>
      <c r="T1021" t="inlineStr">
        <is>
          <t xml:space="preserve">W  </t>
        </is>
      </c>
      <c r="U1021" t="n">
        <v>9</v>
      </c>
      <c r="V1021" t="n">
        <v>9</v>
      </c>
      <c r="W1021" t="inlineStr">
        <is>
          <t>2006-08-15</t>
        </is>
      </c>
      <c r="X1021" t="inlineStr">
        <is>
          <t>2006-08-15</t>
        </is>
      </c>
      <c r="Y1021" t="inlineStr">
        <is>
          <t>1988-01-12</t>
        </is>
      </c>
      <c r="Z1021" t="inlineStr">
        <is>
          <t>1988-01-12</t>
        </is>
      </c>
      <c r="AA1021" t="n">
        <v>106</v>
      </c>
      <c r="AB1021" t="n">
        <v>78</v>
      </c>
      <c r="AC1021" t="n">
        <v>80</v>
      </c>
      <c r="AD1021" t="n">
        <v>1</v>
      </c>
      <c r="AE1021" t="n">
        <v>1</v>
      </c>
      <c r="AF1021" t="n">
        <v>7</v>
      </c>
      <c r="AG1021" t="n">
        <v>7</v>
      </c>
      <c r="AH1021" t="n">
        <v>0</v>
      </c>
      <c r="AI1021" t="n">
        <v>0</v>
      </c>
      <c r="AJ1021" t="n">
        <v>2</v>
      </c>
      <c r="AK1021" t="n">
        <v>2</v>
      </c>
      <c r="AL1021" t="n">
        <v>2</v>
      </c>
      <c r="AM1021" t="n">
        <v>2</v>
      </c>
      <c r="AN1021" t="n">
        <v>0</v>
      </c>
      <c r="AO1021" t="n">
        <v>0</v>
      </c>
      <c r="AP1021" t="n">
        <v>4</v>
      </c>
      <c r="AQ1021" t="n">
        <v>4</v>
      </c>
      <c r="AR1021" t="inlineStr">
        <is>
          <t>No</t>
        </is>
      </c>
      <c r="AS1021" t="inlineStr">
        <is>
          <t>Yes</t>
        </is>
      </c>
      <c r="AT1021">
        <f>HYPERLINK("http://catalog.hathitrust.org/Record/000868168","HathiTrust Record")</f>
        <v/>
      </c>
      <c r="AU1021">
        <f>HYPERLINK("https://creighton-primo.hosted.exlibrisgroup.com/primo-explore/search?tab=default_tab&amp;search_scope=EVERYTHING&amp;vid=01CRU&amp;lang=en_US&amp;offset=0&amp;query=any,contains,991001536069702656","Catalog Record")</f>
        <v/>
      </c>
      <c r="AV1021">
        <f>HYPERLINK("http://www.worldcat.org/oclc/14966334","WorldCat Record")</f>
        <v/>
      </c>
      <c r="AW1021" t="inlineStr">
        <is>
          <t>8536899:eng</t>
        </is>
      </c>
      <c r="AX1021" t="inlineStr">
        <is>
          <t>14966334</t>
        </is>
      </c>
      <c r="AY1021" t="inlineStr">
        <is>
          <t>991001536069702656</t>
        </is>
      </c>
      <c r="AZ1021" t="inlineStr">
        <is>
          <t>991001536069702656</t>
        </is>
      </c>
      <c r="BA1021" t="inlineStr">
        <is>
          <t>2264077550002656</t>
        </is>
      </c>
      <c r="BB1021" t="inlineStr">
        <is>
          <t>BOOK</t>
        </is>
      </c>
      <c r="BD1021" t="inlineStr">
        <is>
          <t>9780884165507</t>
        </is>
      </c>
      <c r="BE1021" t="inlineStr">
        <is>
          <t>30001000622938</t>
        </is>
      </c>
      <c r="BF1021" t="inlineStr">
        <is>
          <t>893832290</t>
        </is>
      </c>
    </row>
    <row r="1022">
      <c r="A1022" t="inlineStr">
        <is>
          <t>No</t>
        </is>
      </c>
      <c r="B1022" t="inlineStr">
        <is>
          <t>CUHSL</t>
        </is>
      </c>
      <c r="C1022" t="inlineStr">
        <is>
          <t>SHELVES</t>
        </is>
      </c>
      <c r="D1022" t="inlineStr">
        <is>
          <t>W 705 L964h 1973</t>
        </is>
      </c>
      <c r="E1022" t="inlineStr">
        <is>
          <t>0                      W  0705000L  964h        1973</t>
        </is>
      </c>
      <c r="F1022" t="inlineStr">
        <is>
          <t>Handbook for dental identification : techniques in forensic dentistry / by Lester L. Luntz and Phyllys Luntz.</t>
        </is>
      </c>
      <c r="H1022" t="inlineStr">
        <is>
          <t>No</t>
        </is>
      </c>
      <c r="I1022" t="inlineStr">
        <is>
          <t>1</t>
        </is>
      </c>
      <c r="J1022" t="inlineStr">
        <is>
          <t>No</t>
        </is>
      </c>
      <c r="K1022" t="inlineStr">
        <is>
          <t>No</t>
        </is>
      </c>
      <c r="L1022" t="inlineStr">
        <is>
          <t>0</t>
        </is>
      </c>
      <c r="M1022" t="inlineStr">
        <is>
          <t>Luntz, Lester L.</t>
        </is>
      </c>
      <c r="N1022" t="inlineStr">
        <is>
          <t>Philadelphia : Lippincott, 1973</t>
        </is>
      </c>
      <c r="O1022" t="inlineStr">
        <is>
          <t>1973</t>
        </is>
      </c>
      <c r="Q1022" t="inlineStr">
        <is>
          <t>eng</t>
        </is>
      </c>
      <c r="R1022" t="inlineStr">
        <is>
          <t>pau</t>
        </is>
      </c>
      <c r="T1022" t="inlineStr">
        <is>
          <t xml:space="preserve">W  </t>
        </is>
      </c>
      <c r="U1022" t="n">
        <v>16</v>
      </c>
      <c r="V1022" t="n">
        <v>16</v>
      </c>
      <c r="W1022" t="inlineStr">
        <is>
          <t>2006-08-15</t>
        </is>
      </c>
      <c r="X1022" t="inlineStr">
        <is>
          <t>2006-08-15</t>
        </is>
      </c>
      <c r="Y1022" t="inlineStr">
        <is>
          <t>1988-01-18</t>
        </is>
      </c>
      <c r="Z1022" t="inlineStr">
        <is>
          <t>1988-01-18</t>
        </is>
      </c>
      <c r="AA1022" t="n">
        <v>197</v>
      </c>
      <c r="AB1022" t="n">
        <v>148</v>
      </c>
      <c r="AC1022" t="n">
        <v>150</v>
      </c>
      <c r="AD1022" t="n">
        <v>2</v>
      </c>
      <c r="AE1022" t="n">
        <v>2</v>
      </c>
      <c r="AF1022" t="n">
        <v>6</v>
      </c>
      <c r="AG1022" t="n">
        <v>6</v>
      </c>
      <c r="AH1022" t="n">
        <v>0</v>
      </c>
      <c r="AI1022" t="n">
        <v>0</v>
      </c>
      <c r="AJ1022" t="n">
        <v>2</v>
      </c>
      <c r="AK1022" t="n">
        <v>2</v>
      </c>
      <c r="AL1022" t="n">
        <v>2</v>
      </c>
      <c r="AM1022" t="n">
        <v>2</v>
      </c>
      <c r="AN1022" t="n">
        <v>1</v>
      </c>
      <c r="AO1022" t="n">
        <v>1</v>
      </c>
      <c r="AP1022" t="n">
        <v>2</v>
      </c>
      <c r="AQ1022" t="n">
        <v>2</v>
      </c>
      <c r="AR1022" t="inlineStr">
        <is>
          <t>No</t>
        </is>
      </c>
      <c r="AS1022" t="inlineStr">
        <is>
          <t>Yes</t>
        </is>
      </c>
      <c r="AT1022">
        <f>HYPERLINK("http://catalog.hathitrust.org/Record/001572310","HathiTrust Record")</f>
        <v/>
      </c>
      <c r="AU1022">
        <f>HYPERLINK("https://creighton-primo.hosted.exlibrisgroup.com/primo-explore/search?tab=default_tab&amp;search_scope=EVERYTHING&amp;vid=01CRU&amp;lang=en_US&amp;offset=0&amp;query=any,contains,991001544749702656","Catalog Record")</f>
        <v/>
      </c>
      <c r="AV1022">
        <f>HYPERLINK("http://www.worldcat.org/oclc/596381","WorldCat Record")</f>
        <v/>
      </c>
      <c r="AW1022" t="inlineStr">
        <is>
          <t>257251711:eng</t>
        </is>
      </c>
      <c r="AX1022" t="inlineStr">
        <is>
          <t>596381</t>
        </is>
      </c>
      <c r="AY1022" t="inlineStr">
        <is>
          <t>991001544749702656</t>
        </is>
      </c>
      <c r="AZ1022" t="inlineStr">
        <is>
          <t>991001544749702656</t>
        </is>
      </c>
      <c r="BA1022" t="inlineStr">
        <is>
          <t>2270984890002656</t>
        </is>
      </c>
      <c r="BB1022" t="inlineStr">
        <is>
          <t>BOOK</t>
        </is>
      </c>
      <c r="BD1022" t="inlineStr">
        <is>
          <t>9780397503155</t>
        </is>
      </c>
      <c r="BE1022" t="inlineStr">
        <is>
          <t>30001000637167</t>
        </is>
      </c>
      <c r="BF1022" t="inlineStr">
        <is>
          <t>893736703</t>
        </is>
      </c>
    </row>
    <row r="1023">
      <c r="A1023" t="inlineStr">
        <is>
          <t>No</t>
        </is>
      </c>
      <c r="B1023" t="inlineStr">
        <is>
          <t>CUHSL</t>
        </is>
      </c>
      <c r="C1023" t="inlineStr">
        <is>
          <t>SHELVES</t>
        </is>
      </c>
      <c r="D1023" t="inlineStr">
        <is>
          <t>W 725 S562p 1986</t>
        </is>
      </c>
      <c r="E1023" t="inlineStr">
        <is>
          <t>0                      W  0725000S  562p        1986</t>
        </is>
      </c>
      <c r="F1023" t="inlineStr">
        <is>
          <t>Psychiatric and psychological evidence / Daniel W. Shuman.</t>
        </is>
      </c>
      <c r="H1023" t="inlineStr">
        <is>
          <t>No</t>
        </is>
      </c>
      <c r="I1023" t="inlineStr">
        <is>
          <t>1</t>
        </is>
      </c>
      <c r="J1023" t="inlineStr">
        <is>
          <t>No</t>
        </is>
      </c>
      <c r="K1023" t="inlineStr">
        <is>
          <t>No</t>
        </is>
      </c>
      <c r="L1023" t="inlineStr">
        <is>
          <t>0</t>
        </is>
      </c>
      <c r="M1023" t="inlineStr">
        <is>
          <t>Shuman, Daniel W.</t>
        </is>
      </c>
      <c r="N1023" t="inlineStr">
        <is>
          <t>Colorado Springs, Colo. : Shepard's/McGraw-Hill, c1986.</t>
        </is>
      </c>
      <c r="O1023" t="inlineStr">
        <is>
          <t>1986</t>
        </is>
      </c>
      <c r="Q1023" t="inlineStr">
        <is>
          <t>eng</t>
        </is>
      </c>
      <c r="R1023" t="inlineStr">
        <is>
          <t>cou</t>
        </is>
      </c>
      <c r="S1023" t="inlineStr">
        <is>
          <t>Trial practice series</t>
        </is>
      </c>
      <c r="T1023" t="inlineStr">
        <is>
          <t xml:space="preserve">W  </t>
        </is>
      </c>
      <c r="U1023" t="n">
        <v>4</v>
      </c>
      <c r="V1023" t="n">
        <v>4</v>
      </c>
      <c r="W1023" t="inlineStr">
        <is>
          <t>2009-11-22</t>
        </is>
      </c>
      <c r="X1023" t="inlineStr">
        <is>
          <t>2009-11-22</t>
        </is>
      </c>
      <c r="Y1023" t="inlineStr">
        <is>
          <t>1987-09-09</t>
        </is>
      </c>
      <c r="Z1023" t="inlineStr">
        <is>
          <t>1987-09-09</t>
        </is>
      </c>
      <c r="AA1023" t="n">
        <v>234</v>
      </c>
      <c r="AB1023" t="n">
        <v>223</v>
      </c>
      <c r="AC1023" t="n">
        <v>226</v>
      </c>
      <c r="AD1023" t="n">
        <v>3</v>
      </c>
      <c r="AE1023" t="n">
        <v>3</v>
      </c>
      <c r="AF1023" t="n">
        <v>19</v>
      </c>
      <c r="AG1023" t="n">
        <v>19</v>
      </c>
      <c r="AH1023" t="n">
        <v>0</v>
      </c>
      <c r="AI1023" t="n">
        <v>0</v>
      </c>
      <c r="AJ1023" t="n">
        <v>1</v>
      </c>
      <c r="AK1023" t="n">
        <v>1</v>
      </c>
      <c r="AL1023" t="n">
        <v>2</v>
      </c>
      <c r="AM1023" t="n">
        <v>2</v>
      </c>
      <c r="AN1023" t="n">
        <v>1</v>
      </c>
      <c r="AO1023" t="n">
        <v>1</v>
      </c>
      <c r="AP1023" t="n">
        <v>16</v>
      </c>
      <c r="AQ1023" t="n">
        <v>16</v>
      </c>
      <c r="AR1023" t="inlineStr">
        <is>
          <t>No</t>
        </is>
      </c>
      <c r="AS1023" t="inlineStr">
        <is>
          <t>No</t>
        </is>
      </c>
      <c r="AU1023">
        <f>HYPERLINK("https://creighton-primo.hosted.exlibrisgroup.com/primo-explore/search?tab=default_tab&amp;search_scope=EVERYTHING&amp;vid=01CRU&amp;lang=en_US&amp;offset=0&amp;query=any,contains,991001527549702656","Catalog Record")</f>
        <v/>
      </c>
      <c r="AV1023">
        <f>HYPERLINK("http://www.worldcat.org/oclc/13581199","WorldCat Record")</f>
        <v/>
      </c>
      <c r="AW1023" t="inlineStr">
        <is>
          <t>10792604355:eng</t>
        </is>
      </c>
      <c r="AX1023" t="inlineStr">
        <is>
          <t>13581199</t>
        </is>
      </c>
      <c r="AY1023" t="inlineStr">
        <is>
          <t>991001527549702656</t>
        </is>
      </c>
      <c r="AZ1023" t="inlineStr">
        <is>
          <t>991001527549702656</t>
        </is>
      </c>
      <c r="BA1023" t="inlineStr">
        <is>
          <t>2259659950002656</t>
        </is>
      </c>
      <c r="BB1023" t="inlineStr">
        <is>
          <t>BOOK</t>
        </is>
      </c>
      <c r="BD1023" t="inlineStr">
        <is>
          <t>9780070571792</t>
        </is>
      </c>
      <c r="BE1023" t="inlineStr">
        <is>
          <t>30001000620270</t>
        </is>
      </c>
      <c r="BF1023" t="inlineStr">
        <is>
          <t>893541480</t>
        </is>
      </c>
    </row>
    <row r="1024">
      <c r="A1024" t="inlineStr">
        <is>
          <t>No</t>
        </is>
      </c>
      <c r="B1024" t="inlineStr">
        <is>
          <t>CUHSL</t>
        </is>
      </c>
      <c r="C1024" t="inlineStr">
        <is>
          <t>SHELVES</t>
        </is>
      </c>
      <c r="D1024" t="inlineStr">
        <is>
          <t>W 725 T761d 1957</t>
        </is>
      </c>
      <c r="E1024" t="inlineStr">
        <is>
          <t>0                      W  0725000T  761d        1957</t>
        </is>
      </c>
      <c r="F1024" t="inlineStr">
        <is>
          <t>The doctor as a witness.</t>
        </is>
      </c>
      <c r="H1024" t="inlineStr">
        <is>
          <t>No</t>
        </is>
      </c>
      <c r="I1024" t="inlineStr">
        <is>
          <t>1</t>
        </is>
      </c>
      <c r="J1024" t="inlineStr">
        <is>
          <t>Yes</t>
        </is>
      </c>
      <c r="K1024" t="inlineStr">
        <is>
          <t>No</t>
        </is>
      </c>
      <c r="L1024" t="inlineStr">
        <is>
          <t>0</t>
        </is>
      </c>
      <c r="M1024" t="inlineStr">
        <is>
          <t>Tracy, John Evarts, 1880-1959.</t>
        </is>
      </c>
      <c r="N1024" t="inlineStr">
        <is>
          <t>Philadelphia : W.B. Saunders Co., 1957.</t>
        </is>
      </c>
      <c r="O1024" t="inlineStr">
        <is>
          <t>1957</t>
        </is>
      </c>
      <c r="Q1024" t="inlineStr">
        <is>
          <t>eng</t>
        </is>
      </c>
      <c r="R1024" t="inlineStr">
        <is>
          <t>pau</t>
        </is>
      </c>
      <c r="T1024" t="inlineStr">
        <is>
          <t xml:space="preserve">W  </t>
        </is>
      </c>
      <c r="U1024" t="n">
        <v>1</v>
      </c>
      <c r="V1024" t="n">
        <v>6</v>
      </c>
      <c r="X1024" t="inlineStr">
        <is>
          <t>2010-04-07</t>
        </is>
      </c>
      <c r="Y1024" t="inlineStr">
        <is>
          <t>1988-01-18</t>
        </is>
      </c>
      <c r="Z1024" t="inlineStr">
        <is>
          <t>1991-07-29</t>
        </is>
      </c>
      <c r="AA1024" t="n">
        <v>147</v>
      </c>
      <c r="AB1024" t="n">
        <v>127</v>
      </c>
      <c r="AC1024" t="n">
        <v>227</v>
      </c>
      <c r="AD1024" t="n">
        <v>3</v>
      </c>
      <c r="AE1024" t="n">
        <v>3</v>
      </c>
      <c r="AF1024" t="n">
        <v>11</v>
      </c>
      <c r="AG1024" t="n">
        <v>18</v>
      </c>
      <c r="AH1024" t="n">
        <v>1</v>
      </c>
      <c r="AI1024" t="n">
        <v>1</v>
      </c>
      <c r="AJ1024" t="n">
        <v>0</v>
      </c>
      <c r="AK1024" t="n">
        <v>0</v>
      </c>
      <c r="AL1024" t="n">
        <v>2</v>
      </c>
      <c r="AM1024" t="n">
        <v>3</v>
      </c>
      <c r="AN1024" t="n">
        <v>0</v>
      </c>
      <c r="AO1024" t="n">
        <v>0</v>
      </c>
      <c r="AP1024" t="n">
        <v>9</v>
      </c>
      <c r="AQ1024" t="n">
        <v>15</v>
      </c>
      <c r="AR1024" t="inlineStr">
        <is>
          <t>Yes</t>
        </is>
      </c>
      <c r="AS1024" t="inlineStr">
        <is>
          <t>No</t>
        </is>
      </c>
      <c r="AT1024">
        <f>HYPERLINK("http://catalog.hathitrust.org/Record/001560438","HathiTrust Record")</f>
        <v/>
      </c>
      <c r="AU1024">
        <f>HYPERLINK("https://creighton-primo.hosted.exlibrisgroup.com/primo-explore/search?tab=default_tab&amp;search_scope=EVERYTHING&amp;vid=01CRU&amp;lang=en_US&amp;offset=0&amp;query=any,contains,991001731379702656","Catalog Record")</f>
        <v/>
      </c>
      <c r="AV1024">
        <f>HYPERLINK("http://www.worldcat.org/oclc/81360683","WorldCat Record")</f>
        <v/>
      </c>
      <c r="AW1024" t="inlineStr">
        <is>
          <t>2495001:eng</t>
        </is>
      </c>
      <c r="AX1024" t="inlineStr">
        <is>
          <t>81360683</t>
        </is>
      </c>
      <c r="AY1024" t="inlineStr">
        <is>
          <t>991001731379702656</t>
        </is>
      </c>
      <c r="AZ1024" t="inlineStr">
        <is>
          <t>991001731379702656</t>
        </is>
      </c>
      <c r="BA1024" t="inlineStr">
        <is>
          <t>2271463810002656</t>
        </is>
      </c>
      <c r="BB1024" t="inlineStr">
        <is>
          <t>BOOK</t>
        </is>
      </c>
      <c r="BE1024" t="inlineStr">
        <is>
          <t>30001000637191</t>
        </is>
      </c>
      <c r="BF1024" t="inlineStr">
        <is>
          <t>893741360</t>
        </is>
      </c>
    </row>
    <row r="1025">
      <c r="A1025" t="inlineStr">
        <is>
          <t>No</t>
        </is>
      </c>
      <c r="B1025" t="inlineStr">
        <is>
          <t>CUHSL</t>
        </is>
      </c>
      <c r="C1025" t="inlineStr">
        <is>
          <t>SHELVES</t>
        </is>
      </c>
      <c r="D1025" t="inlineStr">
        <is>
          <t>W740 A585 2004</t>
        </is>
      </c>
      <c r="E1025" t="inlineStr">
        <is>
          <t>0                      W  0740000A  585         2004</t>
        </is>
      </c>
      <c r="F1025" t="inlineStr">
        <is>
          <t>The American Psychiatric Publishing textbook of forensic psychiatry / edited by Robert I. Simon, Liza H. Gold.</t>
        </is>
      </c>
      <c r="H1025" t="inlineStr">
        <is>
          <t>No</t>
        </is>
      </c>
      <c r="I1025" t="inlineStr">
        <is>
          <t>1</t>
        </is>
      </c>
      <c r="J1025" t="inlineStr">
        <is>
          <t>No</t>
        </is>
      </c>
      <c r="K1025" t="inlineStr">
        <is>
          <t>No</t>
        </is>
      </c>
      <c r="L1025" t="inlineStr">
        <is>
          <t>0</t>
        </is>
      </c>
      <c r="N1025" t="inlineStr">
        <is>
          <t>Washington, DC : American Psychiatric Pub., c2004.</t>
        </is>
      </c>
      <c r="O1025" t="inlineStr">
        <is>
          <t>2004</t>
        </is>
      </c>
      <c r="P1025" t="inlineStr">
        <is>
          <t>1st ed.</t>
        </is>
      </c>
      <c r="Q1025" t="inlineStr">
        <is>
          <t>eng</t>
        </is>
      </c>
      <c r="R1025" t="inlineStr">
        <is>
          <t>dcu</t>
        </is>
      </c>
      <c r="T1025" t="inlineStr">
        <is>
          <t xml:space="preserve">W  </t>
        </is>
      </c>
      <c r="U1025" t="n">
        <v>4</v>
      </c>
      <c r="V1025" t="n">
        <v>4</v>
      </c>
      <c r="W1025" t="inlineStr">
        <is>
          <t>2009-11-22</t>
        </is>
      </c>
      <c r="X1025" t="inlineStr">
        <is>
          <t>2009-11-22</t>
        </is>
      </c>
      <c r="Y1025" t="inlineStr">
        <is>
          <t>2004-08-27</t>
        </is>
      </c>
      <c r="Z1025" t="inlineStr">
        <is>
          <t>2004-08-27</t>
        </is>
      </c>
      <c r="AA1025" t="n">
        <v>157</v>
      </c>
      <c r="AB1025" t="n">
        <v>122</v>
      </c>
      <c r="AC1025" t="n">
        <v>511</v>
      </c>
      <c r="AD1025" t="n">
        <v>2</v>
      </c>
      <c r="AE1025" t="n">
        <v>17</v>
      </c>
      <c r="AF1025" t="n">
        <v>7</v>
      </c>
      <c r="AG1025" t="n">
        <v>23</v>
      </c>
      <c r="AH1025" t="n">
        <v>2</v>
      </c>
      <c r="AI1025" t="n">
        <v>6</v>
      </c>
      <c r="AJ1025" t="n">
        <v>2</v>
      </c>
      <c r="AK1025" t="n">
        <v>5</v>
      </c>
      <c r="AL1025" t="n">
        <v>3</v>
      </c>
      <c r="AM1025" t="n">
        <v>4</v>
      </c>
      <c r="AN1025" t="n">
        <v>1</v>
      </c>
      <c r="AO1025" t="n">
        <v>10</v>
      </c>
      <c r="AP1025" t="n">
        <v>1</v>
      </c>
      <c r="AQ1025" t="n">
        <v>1</v>
      </c>
      <c r="AR1025" t="inlineStr">
        <is>
          <t>No</t>
        </is>
      </c>
      <c r="AS1025" t="inlineStr">
        <is>
          <t>Yes</t>
        </is>
      </c>
      <c r="AT1025">
        <f>HYPERLINK("http://catalog.hathitrust.org/Record/004379456","HathiTrust Record")</f>
        <v/>
      </c>
      <c r="AU1025">
        <f>HYPERLINK("https://creighton-primo.hosted.exlibrisgroup.com/primo-explore/search?tab=default_tab&amp;search_scope=EVERYTHING&amp;vid=01CRU&amp;lang=en_US&amp;offset=0&amp;query=any,contains,991000380529702656","Catalog Record")</f>
        <v/>
      </c>
      <c r="AV1025">
        <f>HYPERLINK("http://www.worldcat.org/oclc/54007329","WorldCat Record")</f>
        <v/>
      </c>
      <c r="AW1025" t="inlineStr">
        <is>
          <t>866858587:eng</t>
        </is>
      </c>
      <c r="AX1025" t="inlineStr">
        <is>
          <t>54007329</t>
        </is>
      </c>
      <c r="AY1025" t="inlineStr">
        <is>
          <t>991000380529702656</t>
        </is>
      </c>
      <c r="AZ1025" t="inlineStr">
        <is>
          <t>991000380529702656</t>
        </is>
      </c>
      <c r="BA1025" t="inlineStr">
        <is>
          <t>2271684350002656</t>
        </is>
      </c>
      <c r="BB1025" t="inlineStr">
        <is>
          <t>BOOK</t>
        </is>
      </c>
      <c r="BD1025" t="inlineStr">
        <is>
          <t>9781585620876</t>
        </is>
      </c>
      <c r="BE1025" t="inlineStr">
        <is>
          <t>30001004921104</t>
        </is>
      </c>
      <c r="BF1025" t="inlineStr">
        <is>
          <t>893109497</t>
        </is>
      </c>
    </row>
    <row r="1026">
      <c r="A1026" t="inlineStr">
        <is>
          <t>No</t>
        </is>
      </c>
      <c r="B1026" t="inlineStr">
        <is>
          <t>CUHSL</t>
        </is>
      </c>
      <c r="C1026" t="inlineStr">
        <is>
          <t>SHELVES</t>
        </is>
      </c>
      <c r="D1026" t="inlineStr">
        <is>
          <t>W 740 K67p 1987</t>
        </is>
      </c>
      <c r="E1026" t="inlineStr">
        <is>
          <t>0                      W  0740000K  67p         1987</t>
        </is>
      </c>
      <c r="F1026" t="inlineStr">
        <is>
          <t>Privileged communications in the mental health professions / Samuel Knapp, Leon VandeCreek.</t>
        </is>
      </c>
      <c r="H1026" t="inlineStr">
        <is>
          <t>No</t>
        </is>
      </c>
      <c r="I1026" t="inlineStr">
        <is>
          <t>1</t>
        </is>
      </c>
      <c r="J1026" t="inlineStr">
        <is>
          <t>No</t>
        </is>
      </c>
      <c r="K1026" t="inlineStr">
        <is>
          <t>No</t>
        </is>
      </c>
      <c r="L1026" t="inlineStr">
        <is>
          <t>0</t>
        </is>
      </c>
      <c r="M1026" t="inlineStr">
        <is>
          <t>Knapp, Samuel.</t>
        </is>
      </c>
      <c r="N1026" t="inlineStr">
        <is>
          <t>New York : Van Nostrand Reinhold, c1987.</t>
        </is>
      </c>
      <c r="O1026" t="inlineStr">
        <is>
          <t>1987</t>
        </is>
      </c>
      <c r="Q1026" t="inlineStr">
        <is>
          <t>eng</t>
        </is>
      </c>
      <c r="R1026" t="inlineStr">
        <is>
          <t>xxu</t>
        </is>
      </c>
      <c r="T1026" t="inlineStr">
        <is>
          <t xml:space="preserve">W  </t>
        </is>
      </c>
      <c r="U1026" t="n">
        <v>3</v>
      </c>
      <c r="V1026" t="n">
        <v>3</v>
      </c>
      <c r="W1026" t="inlineStr">
        <is>
          <t>1991-11-09</t>
        </is>
      </c>
      <c r="X1026" t="inlineStr">
        <is>
          <t>1991-11-09</t>
        </is>
      </c>
      <c r="Y1026" t="inlineStr">
        <is>
          <t>1987-12-30</t>
        </is>
      </c>
      <c r="Z1026" t="inlineStr">
        <is>
          <t>1987-12-30</t>
        </is>
      </c>
      <c r="AA1026" t="n">
        <v>355</v>
      </c>
      <c r="AB1026" t="n">
        <v>331</v>
      </c>
      <c r="AC1026" t="n">
        <v>338</v>
      </c>
      <c r="AD1026" t="n">
        <v>3</v>
      </c>
      <c r="AE1026" t="n">
        <v>3</v>
      </c>
      <c r="AF1026" t="n">
        <v>26</v>
      </c>
      <c r="AG1026" t="n">
        <v>26</v>
      </c>
      <c r="AH1026" t="n">
        <v>2</v>
      </c>
      <c r="AI1026" t="n">
        <v>2</v>
      </c>
      <c r="AJ1026" t="n">
        <v>5</v>
      </c>
      <c r="AK1026" t="n">
        <v>5</v>
      </c>
      <c r="AL1026" t="n">
        <v>8</v>
      </c>
      <c r="AM1026" t="n">
        <v>8</v>
      </c>
      <c r="AN1026" t="n">
        <v>2</v>
      </c>
      <c r="AO1026" t="n">
        <v>2</v>
      </c>
      <c r="AP1026" t="n">
        <v>11</v>
      </c>
      <c r="AQ1026" t="n">
        <v>11</v>
      </c>
      <c r="AR1026" t="inlineStr">
        <is>
          <t>No</t>
        </is>
      </c>
      <c r="AS1026" t="inlineStr">
        <is>
          <t>Yes</t>
        </is>
      </c>
      <c r="AT1026">
        <f>HYPERLINK("http://catalog.hathitrust.org/Record/000825578","HathiTrust Record")</f>
        <v/>
      </c>
      <c r="AU1026">
        <f>HYPERLINK("https://creighton-primo.hosted.exlibrisgroup.com/primo-explore/search?tab=default_tab&amp;search_scope=EVERYTHING&amp;vid=01CRU&amp;lang=en_US&amp;offset=0&amp;query=any,contains,991001264719702656","Catalog Record")</f>
        <v/>
      </c>
      <c r="AV1026">
        <f>HYPERLINK("http://www.worldcat.org/oclc/14358845","WorldCat Record")</f>
        <v/>
      </c>
      <c r="AW1026" t="inlineStr">
        <is>
          <t>8215123:eng</t>
        </is>
      </c>
      <c r="AX1026" t="inlineStr">
        <is>
          <t>14358845</t>
        </is>
      </c>
      <c r="AY1026" t="inlineStr">
        <is>
          <t>991001264719702656</t>
        </is>
      </c>
      <c r="AZ1026" t="inlineStr">
        <is>
          <t>991001264719702656</t>
        </is>
      </c>
      <c r="BA1026" t="inlineStr">
        <is>
          <t>2255501380002656</t>
        </is>
      </c>
      <c r="BB1026" t="inlineStr">
        <is>
          <t>BOOK</t>
        </is>
      </c>
      <c r="BD1026" t="inlineStr">
        <is>
          <t>9780442240554</t>
        </is>
      </c>
      <c r="BE1026" t="inlineStr">
        <is>
          <t>30001000352403</t>
        </is>
      </c>
      <c r="BF1026" t="inlineStr">
        <is>
          <t>893736379</t>
        </is>
      </c>
    </row>
    <row r="1027">
      <c r="A1027" t="inlineStr">
        <is>
          <t>No</t>
        </is>
      </c>
      <c r="B1027" t="inlineStr">
        <is>
          <t>CUHSL</t>
        </is>
      </c>
      <c r="C1027" t="inlineStr">
        <is>
          <t>SHELVES</t>
        </is>
      </c>
      <c r="D1027" t="inlineStr">
        <is>
          <t>W 740 L415 1981</t>
        </is>
      </c>
      <c r="E1027" t="inlineStr">
        <is>
          <t>0                      W  0740000L  415         1981</t>
        </is>
      </c>
      <c r="F1027" t="inlineStr">
        <is>
          <t>Law and ethics in the practice of psychiatry / edited by Charles K. Hofling.</t>
        </is>
      </c>
      <c r="H1027" t="inlineStr">
        <is>
          <t>No</t>
        </is>
      </c>
      <c r="I1027" t="inlineStr">
        <is>
          <t>1</t>
        </is>
      </c>
      <c r="J1027" t="inlineStr">
        <is>
          <t>No</t>
        </is>
      </c>
      <c r="K1027" t="inlineStr">
        <is>
          <t>No</t>
        </is>
      </c>
      <c r="L1027" t="inlineStr">
        <is>
          <t>0</t>
        </is>
      </c>
      <c r="N1027" t="inlineStr">
        <is>
          <t>New York : Brunner/Mazel, c1981.</t>
        </is>
      </c>
      <c r="O1027" t="inlineStr">
        <is>
          <t>1981</t>
        </is>
      </c>
      <c r="Q1027" t="inlineStr">
        <is>
          <t>eng</t>
        </is>
      </c>
      <c r="R1027" t="inlineStr">
        <is>
          <t>xxu</t>
        </is>
      </c>
      <c r="T1027" t="inlineStr">
        <is>
          <t xml:space="preserve">W  </t>
        </is>
      </c>
      <c r="U1027" t="n">
        <v>4</v>
      </c>
      <c r="V1027" t="n">
        <v>4</v>
      </c>
      <c r="W1027" t="inlineStr">
        <is>
          <t>1997-10-02</t>
        </is>
      </c>
      <c r="X1027" t="inlineStr">
        <is>
          <t>1997-10-02</t>
        </is>
      </c>
      <c r="Y1027" t="inlineStr">
        <is>
          <t>1987-12-30</t>
        </is>
      </c>
      <c r="Z1027" t="inlineStr">
        <is>
          <t>1987-12-30</t>
        </is>
      </c>
      <c r="AA1027" t="n">
        <v>35</v>
      </c>
      <c r="AB1027" t="n">
        <v>30</v>
      </c>
      <c r="AC1027" t="n">
        <v>306</v>
      </c>
      <c r="AD1027" t="n">
        <v>1</v>
      </c>
      <c r="AE1027" t="n">
        <v>1</v>
      </c>
      <c r="AF1027" t="n">
        <v>0</v>
      </c>
      <c r="AG1027" t="n">
        <v>19</v>
      </c>
      <c r="AH1027" t="n">
        <v>0</v>
      </c>
      <c r="AI1027" t="n">
        <v>2</v>
      </c>
      <c r="AJ1027" t="n">
        <v>0</v>
      </c>
      <c r="AK1027" t="n">
        <v>0</v>
      </c>
      <c r="AL1027" t="n">
        <v>0</v>
      </c>
      <c r="AM1027" t="n">
        <v>2</v>
      </c>
      <c r="AN1027" t="n">
        <v>0</v>
      </c>
      <c r="AO1027" t="n">
        <v>0</v>
      </c>
      <c r="AP1027" t="n">
        <v>0</v>
      </c>
      <c r="AQ1027" t="n">
        <v>16</v>
      </c>
      <c r="AR1027" t="inlineStr">
        <is>
          <t>No</t>
        </is>
      </c>
      <c r="AS1027" t="inlineStr">
        <is>
          <t>No</t>
        </is>
      </c>
      <c r="AU1027">
        <f>HYPERLINK("https://creighton-primo.hosted.exlibrisgroup.com/primo-explore/search?tab=default_tab&amp;search_scope=EVERYTHING&amp;vid=01CRU&amp;lang=en_US&amp;offset=0&amp;query=any,contains,991001544779702656","Catalog Record")</f>
        <v/>
      </c>
      <c r="AV1027">
        <f>HYPERLINK("http://www.worldcat.org/oclc/7877405","WorldCat Record")</f>
        <v/>
      </c>
      <c r="AW1027" t="inlineStr">
        <is>
          <t>146927814:eng</t>
        </is>
      </c>
      <c r="AX1027" t="inlineStr">
        <is>
          <t>7877405</t>
        </is>
      </c>
      <c r="AY1027" t="inlineStr">
        <is>
          <t>991001544779702656</t>
        </is>
      </c>
      <c r="AZ1027" t="inlineStr">
        <is>
          <t>991001544779702656</t>
        </is>
      </c>
      <c r="BA1027" t="inlineStr">
        <is>
          <t>2268276360002656</t>
        </is>
      </c>
      <c r="BB1027" t="inlineStr">
        <is>
          <t>BOOK</t>
        </is>
      </c>
      <c r="BD1027" t="inlineStr">
        <is>
          <t>9780876302507</t>
        </is>
      </c>
      <c r="BE1027" t="inlineStr">
        <is>
          <t>30001000637258</t>
        </is>
      </c>
      <c r="BF1027" t="inlineStr">
        <is>
          <t>893168265</t>
        </is>
      </c>
    </row>
    <row r="1028">
      <c r="A1028" t="inlineStr">
        <is>
          <t>No</t>
        </is>
      </c>
      <c r="B1028" t="inlineStr">
        <is>
          <t>CUHSL</t>
        </is>
      </c>
      <c r="C1028" t="inlineStr">
        <is>
          <t>SHELVES</t>
        </is>
      </c>
      <c r="D1028" t="inlineStr">
        <is>
          <t>W 740 L967 1985f</t>
        </is>
      </c>
      <c r="E1028" t="inlineStr">
        <is>
          <t>0                      W  0740000L  967         1985f</t>
        </is>
      </c>
      <c r="F1028" t="inlineStr">
        <is>
          <t>Forensic neuropsychology / edited by Charles J. Golden and Mary Ann Strider.</t>
        </is>
      </c>
      <c r="H1028" t="inlineStr">
        <is>
          <t>No</t>
        </is>
      </c>
      <c r="I1028" t="inlineStr">
        <is>
          <t>1</t>
        </is>
      </c>
      <c r="J1028" t="inlineStr">
        <is>
          <t>No</t>
        </is>
      </c>
      <c r="K1028" t="inlineStr">
        <is>
          <t>No</t>
        </is>
      </c>
      <c r="L1028" t="inlineStr">
        <is>
          <t>0</t>
        </is>
      </c>
      <c r="M1028" t="inlineStr">
        <is>
          <t>Luria-Nebraska Symposium on Neuropsychology (3rd : 1985 : University of Nebraska Medical Center)</t>
        </is>
      </c>
      <c r="N1028" t="inlineStr">
        <is>
          <t>New York : Plenum Press, c1986.</t>
        </is>
      </c>
      <c r="O1028" t="inlineStr">
        <is>
          <t>1986</t>
        </is>
      </c>
      <c r="Q1028" t="inlineStr">
        <is>
          <t>eng</t>
        </is>
      </c>
      <c r="R1028" t="inlineStr">
        <is>
          <t>xxu</t>
        </is>
      </c>
      <c r="S1028" t="inlineStr">
        <is>
          <t>Nebraska neuropsychology symposia series ; v. 1</t>
        </is>
      </c>
      <c r="T1028" t="inlineStr">
        <is>
          <t xml:space="preserve">W  </t>
        </is>
      </c>
      <c r="U1028" t="n">
        <v>3</v>
      </c>
      <c r="V1028" t="n">
        <v>3</v>
      </c>
      <c r="W1028" t="inlineStr">
        <is>
          <t>1994-09-02</t>
        </is>
      </c>
      <c r="X1028" t="inlineStr">
        <is>
          <t>1994-09-02</t>
        </is>
      </c>
      <c r="Y1028" t="inlineStr">
        <is>
          <t>1987-12-30</t>
        </is>
      </c>
      <c r="Z1028" t="inlineStr">
        <is>
          <t>1987-12-30</t>
        </is>
      </c>
      <c r="AA1028" t="n">
        <v>171</v>
      </c>
      <c r="AB1028" t="n">
        <v>129</v>
      </c>
      <c r="AC1028" t="n">
        <v>149</v>
      </c>
      <c r="AD1028" t="n">
        <v>1</v>
      </c>
      <c r="AE1028" t="n">
        <v>1</v>
      </c>
      <c r="AF1028" t="n">
        <v>3</v>
      </c>
      <c r="AG1028" t="n">
        <v>5</v>
      </c>
      <c r="AH1028" t="n">
        <v>2</v>
      </c>
      <c r="AI1028" t="n">
        <v>4</v>
      </c>
      <c r="AJ1028" t="n">
        <v>0</v>
      </c>
      <c r="AK1028" t="n">
        <v>0</v>
      </c>
      <c r="AL1028" t="n">
        <v>1</v>
      </c>
      <c r="AM1028" t="n">
        <v>2</v>
      </c>
      <c r="AN1028" t="n">
        <v>0</v>
      </c>
      <c r="AO1028" t="n">
        <v>0</v>
      </c>
      <c r="AP1028" t="n">
        <v>0</v>
      </c>
      <c r="AQ1028" t="n">
        <v>0</v>
      </c>
      <c r="AR1028" t="inlineStr">
        <is>
          <t>No</t>
        </is>
      </c>
      <c r="AS1028" t="inlineStr">
        <is>
          <t>No</t>
        </is>
      </c>
      <c r="AU1028">
        <f>HYPERLINK("https://creighton-primo.hosted.exlibrisgroup.com/primo-explore/search?tab=default_tab&amp;search_scope=EVERYTHING&amp;vid=01CRU&amp;lang=en_US&amp;offset=0&amp;query=any,contains,991001544819702656","Catalog Record")</f>
        <v/>
      </c>
      <c r="AV1028">
        <f>HYPERLINK("http://www.worldcat.org/oclc/14098478","WorldCat Record")</f>
        <v/>
      </c>
      <c r="AW1028" t="inlineStr">
        <is>
          <t>363885589:eng</t>
        </is>
      </c>
      <c r="AX1028" t="inlineStr">
        <is>
          <t>14098478</t>
        </is>
      </c>
      <c r="AY1028" t="inlineStr">
        <is>
          <t>991001544819702656</t>
        </is>
      </c>
      <c r="AZ1028" t="inlineStr">
        <is>
          <t>991001544819702656</t>
        </is>
      </c>
      <c r="BA1028" t="inlineStr">
        <is>
          <t>2266836770002656</t>
        </is>
      </c>
      <c r="BB1028" t="inlineStr">
        <is>
          <t>BOOK</t>
        </is>
      </c>
      <c r="BD1028" t="inlineStr">
        <is>
          <t>9780306423949</t>
        </is>
      </c>
      <c r="BE1028" t="inlineStr">
        <is>
          <t>30001000637266</t>
        </is>
      </c>
      <c r="BF1028" t="inlineStr">
        <is>
          <t>893162142</t>
        </is>
      </c>
    </row>
    <row r="1029">
      <c r="A1029" t="inlineStr">
        <is>
          <t>No</t>
        </is>
      </c>
      <c r="B1029" t="inlineStr">
        <is>
          <t>CUHSL</t>
        </is>
      </c>
      <c r="C1029" t="inlineStr">
        <is>
          <t>SHELVES</t>
        </is>
      </c>
      <c r="D1029" t="inlineStr">
        <is>
          <t>W 740 M135p 1976</t>
        </is>
      </c>
      <c r="E1029" t="inlineStr">
        <is>
          <t>0                      W  0740000M  135p        1976</t>
        </is>
      </c>
      <c r="F1029" t="inlineStr">
        <is>
          <t>Psychiatry and the criminal : a guide to psychiatric examinations for the criminal courts / by John M. Macdonald, with a chapter by Leighton C. Whitaker.</t>
        </is>
      </c>
      <c r="H1029" t="inlineStr">
        <is>
          <t>No</t>
        </is>
      </c>
      <c r="I1029" t="inlineStr">
        <is>
          <t>1</t>
        </is>
      </c>
      <c r="J1029" t="inlineStr">
        <is>
          <t>No</t>
        </is>
      </c>
      <c r="K1029" t="inlineStr">
        <is>
          <t>No</t>
        </is>
      </c>
      <c r="L1029" t="inlineStr">
        <is>
          <t>0</t>
        </is>
      </c>
      <c r="M1029" t="inlineStr">
        <is>
          <t>Macdonald, John M. (John Marshall), 1920-2007.</t>
        </is>
      </c>
      <c r="N1029" t="inlineStr">
        <is>
          <t>Springfield, Ill. : Thomas, 1976.</t>
        </is>
      </c>
      <c r="O1029" t="inlineStr">
        <is>
          <t>1976</t>
        </is>
      </c>
      <c r="P1029" t="inlineStr">
        <is>
          <t>-- 3d ed. --</t>
        </is>
      </c>
      <c r="Q1029" t="inlineStr">
        <is>
          <t>eng</t>
        </is>
      </c>
      <c r="R1029" t="inlineStr">
        <is>
          <t>ilu</t>
        </is>
      </c>
      <c r="T1029" t="inlineStr">
        <is>
          <t xml:space="preserve">W  </t>
        </is>
      </c>
      <c r="U1029" t="n">
        <v>3</v>
      </c>
      <c r="V1029" t="n">
        <v>3</v>
      </c>
      <c r="W1029" t="inlineStr">
        <is>
          <t>2001-03-13</t>
        </is>
      </c>
      <c r="X1029" t="inlineStr">
        <is>
          <t>2001-03-13</t>
        </is>
      </c>
      <c r="Y1029" t="inlineStr">
        <is>
          <t>1987-12-30</t>
        </is>
      </c>
      <c r="Z1029" t="inlineStr">
        <is>
          <t>1987-12-30</t>
        </is>
      </c>
      <c r="AA1029" t="n">
        <v>296</v>
      </c>
      <c r="AB1029" t="n">
        <v>245</v>
      </c>
      <c r="AC1029" t="n">
        <v>513</v>
      </c>
      <c r="AD1029" t="n">
        <v>1</v>
      </c>
      <c r="AE1029" t="n">
        <v>5</v>
      </c>
      <c r="AF1029" t="n">
        <v>14</v>
      </c>
      <c r="AG1029" t="n">
        <v>35</v>
      </c>
      <c r="AH1029" t="n">
        <v>1</v>
      </c>
      <c r="AI1029" t="n">
        <v>7</v>
      </c>
      <c r="AJ1029" t="n">
        <v>1</v>
      </c>
      <c r="AK1029" t="n">
        <v>2</v>
      </c>
      <c r="AL1029" t="n">
        <v>3</v>
      </c>
      <c r="AM1029" t="n">
        <v>10</v>
      </c>
      <c r="AN1029" t="n">
        <v>0</v>
      </c>
      <c r="AO1029" t="n">
        <v>3</v>
      </c>
      <c r="AP1029" t="n">
        <v>11</v>
      </c>
      <c r="AQ1029" t="n">
        <v>19</v>
      </c>
      <c r="AR1029" t="inlineStr">
        <is>
          <t>No</t>
        </is>
      </c>
      <c r="AS1029" t="inlineStr">
        <is>
          <t>Yes</t>
        </is>
      </c>
      <c r="AT1029">
        <f>HYPERLINK("http://catalog.hathitrust.org/Record/000690441","HathiTrust Record")</f>
        <v/>
      </c>
      <c r="AU1029">
        <f>HYPERLINK("https://creighton-primo.hosted.exlibrisgroup.com/primo-explore/search?tab=default_tab&amp;search_scope=EVERYTHING&amp;vid=01CRU&amp;lang=en_US&amp;offset=0&amp;query=any,contains,991001544849702656","Catalog Record")</f>
        <v/>
      </c>
      <c r="AV1029">
        <f>HYPERLINK("http://www.worldcat.org/oclc/1984542","WorldCat Record")</f>
        <v/>
      </c>
      <c r="AW1029" t="inlineStr">
        <is>
          <t>471695:eng</t>
        </is>
      </c>
      <c r="AX1029" t="inlineStr">
        <is>
          <t>1984542</t>
        </is>
      </c>
      <c r="AY1029" t="inlineStr">
        <is>
          <t>991001544849702656</t>
        </is>
      </c>
      <c r="AZ1029" t="inlineStr">
        <is>
          <t>991001544849702656</t>
        </is>
      </c>
      <c r="BA1029" t="inlineStr">
        <is>
          <t>2260401120002656</t>
        </is>
      </c>
      <c r="BB1029" t="inlineStr">
        <is>
          <t>BOOK</t>
        </is>
      </c>
      <c r="BD1029" t="inlineStr">
        <is>
          <t>9780398034801</t>
        </is>
      </c>
      <c r="BE1029" t="inlineStr">
        <is>
          <t>30001000637274</t>
        </is>
      </c>
      <c r="BF1029" t="inlineStr">
        <is>
          <t>893633181</t>
        </is>
      </c>
    </row>
    <row r="1030">
      <c r="A1030" t="inlineStr">
        <is>
          <t>No</t>
        </is>
      </c>
      <c r="B1030" t="inlineStr">
        <is>
          <t>CUHSL</t>
        </is>
      </c>
      <c r="C1030" t="inlineStr">
        <is>
          <t>SHELVES</t>
        </is>
      </c>
      <c r="D1030" t="inlineStr">
        <is>
          <t>W 740 P974 1982</t>
        </is>
      </c>
      <c r="E1030" t="inlineStr">
        <is>
          <t>0                      W  0740000P  974         1982</t>
        </is>
      </c>
      <c r="F1030" t="inlineStr">
        <is>
          <t>Psychology and law : topics from an international conference / edited by Dave J. Müller, Derek B. Blackman, and Antony J. Chapman.</t>
        </is>
      </c>
      <c r="H1030" t="inlineStr">
        <is>
          <t>No</t>
        </is>
      </c>
      <c r="I1030" t="inlineStr">
        <is>
          <t>1</t>
        </is>
      </c>
      <c r="J1030" t="inlineStr">
        <is>
          <t>No</t>
        </is>
      </c>
      <c r="K1030" t="inlineStr">
        <is>
          <t>No</t>
        </is>
      </c>
      <c r="L1030" t="inlineStr">
        <is>
          <t>0</t>
        </is>
      </c>
      <c r="N1030" t="inlineStr">
        <is>
          <t>Chichester [Sussex] ; New York : Wiley, c1984.</t>
        </is>
      </c>
      <c r="O1030" t="inlineStr">
        <is>
          <t>1984</t>
        </is>
      </c>
      <c r="Q1030" t="inlineStr">
        <is>
          <t>eng</t>
        </is>
      </c>
      <c r="R1030" t="inlineStr">
        <is>
          <t>enk</t>
        </is>
      </c>
      <c r="T1030" t="inlineStr">
        <is>
          <t xml:space="preserve">W  </t>
        </is>
      </c>
      <c r="U1030" t="n">
        <v>4</v>
      </c>
      <c r="V1030" t="n">
        <v>4</v>
      </c>
      <c r="W1030" t="inlineStr">
        <is>
          <t>1997-10-02</t>
        </is>
      </c>
      <c r="X1030" t="inlineStr">
        <is>
          <t>1997-10-02</t>
        </is>
      </c>
      <c r="Y1030" t="inlineStr">
        <is>
          <t>1987-12-30</t>
        </is>
      </c>
      <c r="Z1030" t="inlineStr">
        <is>
          <t>1987-12-30</t>
        </is>
      </c>
      <c r="AA1030" t="n">
        <v>318</v>
      </c>
      <c r="AB1030" t="n">
        <v>229</v>
      </c>
      <c r="AC1030" t="n">
        <v>231</v>
      </c>
      <c r="AD1030" t="n">
        <v>3</v>
      </c>
      <c r="AE1030" t="n">
        <v>3</v>
      </c>
      <c r="AF1030" t="n">
        <v>13</v>
      </c>
      <c r="AG1030" t="n">
        <v>13</v>
      </c>
      <c r="AH1030" t="n">
        <v>0</v>
      </c>
      <c r="AI1030" t="n">
        <v>0</v>
      </c>
      <c r="AJ1030" t="n">
        <v>2</v>
      </c>
      <c r="AK1030" t="n">
        <v>2</v>
      </c>
      <c r="AL1030" t="n">
        <v>3</v>
      </c>
      <c r="AM1030" t="n">
        <v>3</v>
      </c>
      <c r="AN1030" t="n">
        <v>1</v>
      </c>
      <c r="AO1030" t="n">
        <v>1</v>
      </c>
      <c r="AP1030" t="n">
        <v>8</v>
      </c>
      <c r="AQ1030" t="n">
        <v>8</v>
      </c>
      <c r="AR1030" t="inlineStr">
        <is>
          <t>No</t>
        </is>
      </c>
      <c r="AS1030" t="inlineStr">
        <is>
          <t>Yes</t>
        </is>
      </c>
      <c r="AT1030">
        <f>HYPERLINK("http://catalog.hathitrust.org/Record/000333529","HathiTrust Record")</f>
        <v/>
      </c>
      <c r="AU1030">
        <f>HYPERLINK("https://creighton-primo.hosted.exlibrisgroup.com/primo-explore/search?tab=default_tab&amp;search_scope=EVERYTHING&amp;vid=01CRU&amp;lang=en_US&amp;offset=0&amp;query=any,contains,991001544879702656","Catalog Record")</f>
        <v/>
      </c>
      <c r="AV1030">
        <f>HYPERLINK("http://www.worldcat.org/oclc/10018916","WorldCat Record")</f>
        <v/>
      </c>
      <c r="AW1030" t="inlineStr">
        <is>
          <t>836633470:eng</t>
        </is>
      </c>
      <c r="AX1030" t="inlineStr">
        <is>
          <t>10018916</t>
        </is>
      </c>
      <c r="AY1030" t="inlineStr">
        <is>
          <t>991001544879702656</t>
        </is>
      </c>
      <c r="AZ1030" t="inlineStr">
        <is>
          <t>991001544879702656</t>
        </is>
      </c>
      <c r="BA1030" t="inlineStr">
        <is>
          <t>2269273340002656</t>
        </is>
      </c>
      <c r="BB1030" t="inlineStr">
        <is>
          <t>BOOK</t>
        </is>
      </c>
      <c r="BD1030" t="inlineStr">
        <is>
          <t>9780471903369</t>
        </is>
      </c>
      <c r="BE1030" t="inlineStr">
        <is>
          <t>30001000637290</t>
        </is>
      </c>
      <c r="BF1030" t="inlineStr">
        <is>
          <t>893358703</t>
        </is>
      </c>
    </row>
    <row r="1031">
      <c r="A1031" t="inlineStr">
        <is>
          <t>No</t>
        </is>
      </c>
      <c r="B1031" t="inlineStr">
        <is>
          <t>CUHSL</t>
        </is>
      </c>
      <c r="C1031" t="inlineStr">
        <is>
          <t>SHELVES</t>
        </is>
      </c>
      <c r="D1031" t="inlineStr">
        <is>
          <t>W 740 R287 1975</t>
        </is>
      </c>
      <c r="E1031" t="inlineStr">
        <is>
          <t>0                      W  0740000R  287         1975</t>
        </is>
      </c>
      <c r="F1031" t="inlineStr">
        <is>
          <t>Readings in law and psychiatry / edited by Richard C. Allen, Elyce Zenoff Ferster, Jesse G. Rubin.</t>
        </is>
      </c>
      <c r="H1031" t="inlineStr">
        <is>
          <t>No</t>
        </is>
      </c>
      <c r="I1031" t="inlineStr">
        <is>
          <t>1</t>
        </is>
      </c>
      <c r="J1031" t="inlineStr">
        <is>
          <t>No</t>
        </is>
      </c>
      <c r="K1031" t="inlineStr">
        <is>
          <t>No</t>
        </is>
      </c>
      <c r="L1031" t="inlineStr">
        <is>
          <t>0</t>
        </is>
      </c>
      <c r="N1031" t="inlineStr">
        <is>
          <t>Baltimore : Johns Hopkins University Press, 1975.</t>
        </is>
      </c>
      <c r="O1031" t="inlineStr">
        <is>
          <t>1975</t>
        </is>
      </c>
      <c r="P1031" t="inlineStr">
        <is>
          <t>Rev. and expanded ed.</t>
        </is>
      </c>
      <c r="Q1031" t="inlineStr">
        <is>
          <t>eng</t>
        </is>
      </c>
      <c r="R1031" t="inlineStr">
        <is>
          <t>mdu</t>
        </is>
      </c>
      <c r="T1031" t="inlineStr">
        <is>
          <t xml:space="preserve">W  </t>
        </is>
      </c>
      <c r="U1031" t="n">
        <v>1</v>
      </c>
      <c r="V1031" t="n">
        <v>1</v>
      </c>
      <c r="W1031" t="inlineStr">
        <is>
          <t>1999-11-29</t>
        </is>
      </c>
      <c r="X1031" t="inlineStr">
        <is>
          <t>1999-11-29</t>
        </is>
      </c>
      <c r="Y1031" t="inlineStr">
        <is>
          <t>1987-12-30</t>
        </is>
      </c>
      <c r="Z1031" t="inlineStr">
        <is>
          <t>1987-12-30</t>
        </is>
      </c>
      <c r="AA1031" t="n">
        <v>336</v>
      </c>
      <c r="AB1031" t="n">
        <v>287</v>
      </c>
      <c r="AC1031" t="n">
        <v>566</v>
      </c>
      <c r="AD1031" t="n">
        <v>1</v>
      </c>
      <c r="AE1031" t="n">
        <v>4</v>
      </c>
      <c r="AF1031" t="n">
        <v>18</v>
      </c>
      <c r="AG1031" t="n">
        <v>36</v>
      </c>
      <c r="AH1031" t="n">
        <v>1</v>
      </c>
      <c r="AI1031" t="n">
        <v>5</v>
      </c>
      <c r="AJ1031" t="n">
        <v>3</v>
      </c>
      <c r="AK1031" t="n">
        <v>3</v>
      </c>
      <c r="AL1031" t="n">
        <v>5</v>
      </c>
      <c r="AM1031" t="n">
        <v>9</v>
      </c>
      <c r="AN1031" t="n">
        <v>0</v>
      </c>
      <c r="AO1031" t="n">
        <v>1</v>
      </c>
      <c r="AP1031" t="n">
        <v>10</v>
      </c>
      <c r="AQ1031" t="n">
        <v>20</v>
      </c>
      <c r="AR1031" t="inlineStr">
        <is>
          <t>No</t>
        </is>
      </c>
      <c r="AS1031" t="inlineStr">
        <is>
          <t>Yes</t>
        </is>
      </c>
      <c r="AT1031">
        <f>HYPERLINK("http://catalog.hathitrust.org/Record/000022202","HathiTrust Record")</f>
        <v/>
      </c>
      <c r="AU1031">
        <f>HYPERLINK("https://creighton-primo.hosted.exlibrisgroup.com/primo-explore/search?tab=default_tab&amp;search_scope=EVERYTHING&amp;vid=01CRU&amp;lang=en_US&amp;offset=0&amp;query=any,contains,991001544909702656","Catalog Record")</f>
        <v/>
      </c>
      <c r="AV1031">
        <f>HYPERLINK("http://www.worldcat.org/oclc/1229530","WorldCat Record")</f>
        <v/>
      </c>
      <c r="AW1031" t="inlineStr">
        <is>
          <t>364531543:eng</t>
        </is>
      </c>
      <c r="AX1031" t="inlineStr">
        <is>
          <t>1229530</t>
        </is>
      </c>
      <c r="AY1031" t="inlineStr">
        <is>
          <t>991001544909702656</t>
        </is>
      </c>
      <c r="AZ1031" t="inlineStr">
        <is>
          <t>991001544909702656</t>
        </is>
      </c>
      <c r="BA1031" t="inlineStr">
        <is>
          <t>2268286320002656</t>
        </is>
      </c>
      <c r="BB1031" t="inlineStr">
        <is>
          <t>BOOK</t>
        </is>
      </c>
      <c r="BD1031" t="inlineStr">
        <is>
          <t>9780801816925</t>
        </is>
      </c>
      <c r="BE1031" t="inlineStr">
        <is>
          <t>30001000637308</t>
        </is>
      </c>
      <c r="BF1031" t="inlineStr">
        <is>
          <t>893149324</t>
        </is>
      </c>
    </row>
    <row r="1032">
      <c r="A1032" t="inlineStr">
        <is>
          <t>No</t>
        </is>
      </c>
      <c r="B1032" t="inlineStr">
        <is>
          <t>CUHSL</t>
        </is>
      </c>
      <c r="C1032" t="inlineStr">
        <is>
          <t>SHELVES</t>
        </is>
      </c>
      <c r="D1032" t="inlineStr">
        <is>
          <t>W 740 T328 1979</t>
        </is>
      </c>
      <c r="E1032" t="inlineStr">
        <is>
          <t>0                      W  0740000T  328         1979</t>
        </is>
      </c>
      <c r="F1032" t="inlineStr">
        <is>
          <t>Terrorism : interdisciplinary perspectives / edited by Burr Eichelman, David Soskis, William Reid.</t>
        </is>
      </c>
      <c r="H1032" t="inlineStr">
        <is>
          <t>No</t>
        </is>
      </c>
      <c r="I1032" t="inlineStr">
        <is>
          <t>1</t>
        </is>
      </c>
      <c r="J1032" t="inlineStr">
        <is>
          <t>No</t>
        </is>
      </c>
      <c r="K1032" t="inlineStr">
        <is>
          <t>No</t>
        </is>
      </c>
      <c r="L1032" t="inlineStr">
        <is>
          <t>0</t>
        </is>
      </c>
      <c r="N1032" t="inlineStr">
        <is>
          <t>Washington, DC : American Psychiatric Association, c1983.</t>
        </is>
      </c>
      <c r="O1032" t="inlineStr">
        <is>
          <t>1983</t>
        </is>
      </c>
      <c r="Q1032" t="inlineStr">
        <is>
          <t>eng</t>
        </is>
      </c>
      <c r="R1032" t="inlineStr">
        <is>
          <t>xxu</t>
        </is>
      </c>
      <c r="T1032" t="inlineStr">
        <is>
          <t xml:space="preserve">W  </t>
        </is>
      </c>
      <c r="U1032" t="n">
        <v>1</v>
      </c>
      <c r="V1032" t="n">
        <v>1</v>
      </c>
      <c r="W1032" t="inlineStr">
        <is>
          <t>1991-04-17</t>
        </is>
      </c>
      <c r="X1032" t="inlineStr">
        <is>
          <t>1991-04-17</t>
        </is>
      </c>
      <c r="Y1032" t="inlineStr">
        <is>
          <t>1987-12-30</t>
        </is>
      </c>
      <c r="Z1032" t="inlineStr">
        <is>
          <t>1987-12-30</t>
        </is>
      </c>
      <c r="AA1032" t="n">
        <v>226</v>
      </c>
      <c r="AB1032" t="n">
        <v>185</v>
      </c>
      <c r="AC1032" t="n">
        <v>188</v>
      </c>
      <c r="AD1032" t="n">
        <v>3</v>
      </c>
      <c r="AE1032" t="n">
        <v>3</v>
      </c>
      <c r="AF1032" t="n">
        <v>8</v>
      </c>
      <c r="AG1032" t="n">
        <v>8</v>
      </c>
      <c r="AH1032" t="n">
        <v>2</v>
      </c>
      <c r="AI1032" t="n">
        <v>2</v>
      </c>
      <c r="AJ1032" t="n">
        <v>0</v>
      </c>
      <c r="AK1032" t="n">
        <v>0</v>
      </c>
      <c r="AL1032" t="n">
        <v>3</v>
      </c>
      <c r="AM1032" t="n">
        <v>3</v>
      </c>
      <c r="AN1032" t="n">
        <v>1</v>
      </c>
      <c r="AO1032" t="n">
        <v>1</v>
      </c>
      <c r="AP1032" t="n">
        <v>3</v>
      </c>
      <c r="AQ1032" t="n">
        <v>3</v>
      </c>
      <c r="AR1032" t="inlineStr">
        <is>
          <t>No</t>
        </is>
      </c>
      <c r="AS1032" t="inlineStr">
        <is>
          <t>Yes</t>
        </is>
      </c>
      <c r="AT1032">
        <f>HYPERLINK("http://catalog.hathitrust.org/Record/007474961","HathiTrust Record")</f>
        <v/>
      </c>
      <c r="AU1032">
        <f>HYPERLINK("https://creighton-primo.hosted.exlibrisgroup.com/primo-explore/search?tab=default_tab&amp;search_scope=EVERYTHING&amp;vid=01CRU&amp;lang=en_US&amp;offset=0&amp;query=any,contains,991001545029702656","Catalog Record")</f>
        <v/>
      </c>
      <c r="AV1032">
        <f>HYPERLINK("http://www.worldcat.org/oclc/9112151","WorldCat Record")</f>
        <v/>
      </c>
      <c r="AW1032" t="inlineStr">
        <is>
          <t>1808361468:eng</t>
        </is>
      </c>
      <c r="AX1032" t="inlineStr">
        <is>
          <t>9112151</t>
        </is>
      </c>
      <c r="AY1032" t="inlineStr">
        <is>
          <t>991001545029702656</t>
        </is>
      </c>
      <c r="AZ1032" t="inlineStr">
        <is>
          <t>991001545029702656</t>
        </is>
      </c>
      <c r="BA1032" t="inlineStr">
        <is>
          <t>2268471210002656</t>
        </is>
      </c>
      <c r="BB1032" t="inlineStr">
        <is>
          <t>BOOK</t>
        </is>
      </c>
      <c r="BD1032" t="inlineStr">
        <is>
          <t>9780890421093</t>
        </is>
      </c>
      <c r="BE1032" t="inlineStr">
        <is>
          <t>30001000637340</t>
        </is>
      </c>
      <c r="BF1032" t="inlineStr">
        <is>
          <t>893149325</t>
        </is>
      </c>
    </row>
    <row r="1033">
      <c r="A1033" t="inlineStr">
        <is>
          <t>No</t>
        </is>
      </c>
      <c r="B1033" t="inlineStr">
        <is>
          <t>CUHSL</t>
        </is>
      </c>
      <c r="C1033" t="inlineStr">
        <is>
          <t>SHELVES</t>
        </is>
      </c>
      <c r="D1033" t="inlineStr">
        <is>
          <t>W 740 W777i 1983</t>
        </is>
      </c>
      <c r="E1033" t="inlineStr">
        <is>
          <t>0                      W  0740000W  777i        1983</t>
        </is>
      </c>
      <c r="F1033" t="inlineStr">
        <is>
          <t>The insanity plea / William J. Winslade and Judith Wilson Ross.</t>
        </is>
      </c>
      <c r="H1033" t="inlineStr">
        <is>
          <t>No</t>
        </is>
      </c>
      <c r="I1033" t="inlineStr">
        <is>
          <t>1</t>
        </is>
      </c>
      <c r="J1033" t="inlineStr">
        <is>
          <t>No</t>
        </is>
      </c>
      <c r="K1033" t="inlineStr">
        <is>
          <t>No</t>
        </is>
      </c>
      <c r="L1033" t="inlineStr">
        <is>
          <t>0</t>
        </is>
      </c>
      <c r="M1033" t="inlineStr">
        <is>
          <t>Winslade, William J.</t>
        </is>
      </c>
      <c r="N1033" t="inlineStr">
        <is>
          <t>New York : Scribner, c1983.</t>
        </is>
      </c>
      <c r="O1033" t="inlineStr">
        <is>
          <t>1983</t>
        </is>
      </c>
      <c r="Q1033" t="inlineStr">
        <is>
          <t>eng</t>
        </is>
      </c>
      <c r="R1033" t="inlineStr">
        <is>
          <t>xxu</t>
        </is>
      </c>
      <c r="T1033" t="inlineStr">
        <is>
          <t xml:space="preserve">W  </t>
        </is>
      </c>
      <c r="U1033" t="n">
        <v>7</v>
      </c>
      <c r="V1033" t="n">
        <v>7</v>
      </c>
      <c r="W1033" t="inlineStr">
        <is>
          <t>2006-06-23</t>
        </is>
      </c>
      <c r="X1033" t="inlineStr">
        <is>
          <t>2006-06-23</t>
        </is>
      </c>
      <c r="Y1033" t="inlineStr">
        <is>
          <t>1987-12-30</t>
        </is>
      </c>
      <c r="Z1033" t="inlineStr">
        <is>
          <t>1987-12-30</t>
        </is>
      </c>
      <c r="AA1033" t="n">
        <v>1177</v>
      </c>
      <c r="AB1033" t="n">
        <v>1123</v>
      </c>
      <c r="AC1033" t="n">
        <v>1128</v>
      </c>
      <c r="AD1033" t="n">
        <v>11</v>
      </c>
      <c r="AE1033" t="n">
        <v>11</v>
      </c>
      <c r="AF1033" t="n">
        <v>37</v>
      </c>
      <c r="AG1033" t="n">
        <v>37</v>
      </c>
      <c r="AH1033" t="n">
        <v>8</v>
      </c>
      <c r="AI1033" t="n">
        <v>8</v>
      </c>
      <c r="AJ1033" t="n">
        <v>2</v>
      </c>
      <c r="AK1033" t="n">
        <v>2</v>
      </c>
      <c r="AL1033" t="n">
        <v>9</v>
      </c>
      <c r="AM1033" t="n">
        <v>9</v>
      </c>
      <c r="AN1033" t="n">
        <v>5</v>
      </c>
      <c r="AO1033" t="n">
        <v>5</v>
      </c>
      <c r="AP1033" t="n">
        <v>17</v>
      </c>
      <c r="AQ1033" t="n">
        <v>17</v>
      </c>
      <c r="AR1033" t="inlineStr">
        <is>
          <t>No</t>
        </is>
      </c>
      <c r="AS1033" t="inlineStr">
        <is>
          <t>No</t>
        </is>
      </c>
      <c r="AU1033">
        <f>HYPERLINK("https://creighton-primo.hosted.exlibrisgroup.com/primo-explore/search?tab=default_tab&amp;search_scope=EVERYTHING&amp;vid=01CRU&amp;lang=en_US&amp;offset=0&amp;query=any,contains,991001545069702656","Catalog Record")</f>
        <v/>
      </c>
      <c r="AV1033">
        <f>HYPERLINK("http://www.worldcat.org/oclc/9131740","WorldCat Record")</f>
        <v/>
      </c>
      <c r="AW1033" t="inlineStr">
        <is>
          <t>43520437:eng</t>
        </is>
      </c>
      <c r="AX1033" t="inlineStr">
        <is>
          <t>9131740</t>
        </is>
      </c>
      <c r="AY1033" t="inlineStr">
        <is>
          <t>991001545069702656</t>
        </is>
      </c>
      <c r="AZ1033" t="inlineStr">
        <is>
          <t>991001545069702656</t>
        </is>
      </c>
      <c r="BA1033" t="inlineStr">
        <is>
          <t>2269724710002656</t>
        </is>
      </c>
      <c r="BB1033" t="inlineStr">
        <is>
          <t>BOOK</t>
        </is>
      </c>
      <c r="BD1033" t="inlineStr">
        <is>
          <t>9780684178974</t>
        </is>
      </c>
      <c r="BE1033" t="inlineStr">
        <is>
          <t>30001000637365</t>
        </is>
      </c>
      <c r="BF1033" t="inlineStr">
        <is>
          <t>893741241</t>
        </is>
      </c>
    </row>
    <row r="1034">
      <c r="A1034" t="inlineStr">
        <is>
          <t>No</t>
        </is>
      </c>
      <c r="B1034" t="inlineStr">
        <is>
          <t>CUHSL</t>
        </is>
      </c>
      <c r="C1034" t="inlineStr">
        <is>
          <t>SHELVES</t>
        </is>
      </c>
      <c r="D1034" t="inlineStr">
        <is>
          <t>W820 B993s 2004</t>
        </is>
      </c>
      <c r="E1034" t="inlineStr">
        <is>
          <t>0                      W  0820000B  993s        2004</t>
        </is>
      </c>
      <c r="F1034" t="inlineStr">
        <is>
          <t>Sudden death in infancy, childhood, and adolescence / Roger W. Byard.</t>
        </is>
      </c>
      <c r="H1034" t="inlineStr">
        <is>
          <t>No</t>
        </is>
      </c>
      <c r="I1034" t="inlineStr">
        <is>
          <t>1</t>
        </is>
      </c>
      <c r="J1034" t="inlineStr">
        <is>
          <t>No</t>
        </is>
      </c>
      <c r="K1034" t="inlineStr">
        <is>
          <t>No</t>
        </is>
      </c>
      <c r="L1034" t="inlineStr">
        <is>
          <t>0</t>
        </is>
      </c>
      <c r="M1034" t="inlineStr">
        <is>
          <t>Byard, Roger W.</t>
        </is>
      </c>
      <c r="N1034" t="inlineStr">
        <is>
          <t>Cambridge ; New York : Cambridge University Press, 2004.</t>
        </is>
      </c>
      <c r="O1034" t="inlineStr">
        <is>
          <t>2004</t>
        </is>
      </c>
      <c r="P1034" t="inlineStr">
        <is>
          <t>2nd ed.</t>
        </is>
      </c>
      <c r="Q1034" t="inlineStr">
        <is>
          <t>eng</t>
        </is>
      </c>
      <c r="R1034" t="inlineStr">
        <is>
          <t>enk</t>
        </is>
      </c>
      <c r="T1034" t="inlineStr">
        <is>
          <t xml:space="preserve">W  </t>
        </is>
      </c>
      <c r="U1034" t="n">
        <v>1</v>
      </c>
      <c r="V1034" t="n">
        <v>1</v>
      </c>
      <c r="W1034" t="inlineStr">
        <is>
          <t>2009-04-06</t>
        </is>
      </c>
      <c r="X1034" t="inlineStr">
        <is>
          <t>2009-04-06</t>
        </is>
      </c>
      <c r="Y1034" t="inlineStr">
        <is>
          <t>2004-08-27</t>
        </is>
      </c>
      <c r="Z1034" t="inlineStr">
        <is>
          <t>2004-08-27</t>
        </is>
      </c>
      <c r="AA1034" t="n">
        <v>165</v>
      </c>
      <c r="AB1034" t="n">
        <v>99</v>
      </c>
      <c r="AC1034" t="n">
        <v>753</v>
      </c>
      <c r="AD1034" t="n">
        <v>1</v>
      </c>
      <c r="AE1034" t="n">
        <v>19</v>
      </c>
      <c r="AF1034" t="n">
        <v>3</v>
      </c>
      <c r="AG1034" t="n">
        <v>38</v>
      </c>
      <c r="AH1034" t="n">
        <v>0</v>
      </c>
      <c r="AI1034" t="n">
        <v>12</v>
      </c>
      <c r="AJ1034" t="n">
        <v>0</v>
      </c>
      <c r="AK1034" t="n">
        <v>5</v>
      </c>
      <c r="AL1034" t="n">
        <v>1</v>
      </c>
      <c r="AM1034" t="n">
        <v>10</v>
      </c>
      <c r="AN1034" t="n">
        <v>0</v>
      </c>
      <c r="AO1034" t="n">
        <v>11</v>
      </c>
      <c r="AP1034" t="n">
        <v>2</v>
      </c>
      <c r="AQ1034" t="n">
        <v>3</v>
      </c>
      <c r="AR1034" t="inlineStr">
        <is>
          <t>No</t>
        </is>
      </c>
      <c r="AS1034" t="inlineStr">
        <is>
          <t>No</t>
        </is>
      </c>
      <c r="AU1034">
        <f>HYPERLINK("https://creighton-primo.hosted.exlibrisgroup.com/primo-explore/search?tab=default_tab&amp;search_scope=EVERYTHING&amp;vid=01CRU&amp;lang=en_US&amp;offset=0&amp;query=any,contains,991000380679702656","Catalog Record")</f>
        <v/>
      </c>
      <c r="AV1034">
        <f>HYPERLINK("http://www.worldcat.org/oclc/52381060","WorldCat Record")</f>
        <v/>
      </c>
      <c r="AW1034" t="inlineStr">
        <is>
          <t>710873:eng</t>
        </is>
      </c>
      <c r="AX1034" t="inlineStr">
        <is>
          <t>52381060</t>
        </is>
      </c>
      <c r="AY1034" t="inlineStr">
        <is>
          <t>991000380679702656</t>
        </is>
      </c>
      <c r="AZ1034" t="inlineStr">
        <is>
          <t>991000380679702656</t>
        </is>
      </c>
      <c r="BA1034" t="inlineStr">
        <is>
          <t>2257033090002656</t>
        </is>
      </c>
      <c r="BB1034" t="inlineStr">
        <is>
          <t>BOOK</t>
        </is>
      </c>
      <c r="BD1034" t="inlineStr">
        <is>
          <t>9780521825825</t>
        </is>
      </c>
      <c r="BE1034" t="inlineStr">
        <is>
          <t>30001004921971</t>
        </is>
      </c>
      <c r="BF1034" t="inlineStr">
        <is>
          <t>893822106</t>
        </is>
      </c>
    </row>
    <row r="1035">
      <c r="A1035" t="inlineStr">
        <is>
          <t>No</t>
        </is>
      </c>
      <c r="B1035" t="inlineStr">
        <is>
          <t>CUHSL</t>
        </is>
      </c>
      <c r="C1035" t="inlineStr">
        <is>
          <t>SHELVES</t>
        </is>
      </c>
      <c r="D1035" t="inlineStr">
        <is>
          <t>W 820 M827d 1982</t>
        </is>
      </c>
      <c r="E1035" t="inlineStr">
        <is>
          <t>0                      W  0820000M  827d        1982</t>
        </is>
      </c>
      <c r="F1035" t="inlineStr">
        <is>
          <t>Determination of death : theological, medical, ethical, and legal issues / Albert S. Moraczweski &amp; J. Stuart Showalter.</t>
        </is>
      </c>
      <c r="H1035" t="inlineStr">
        <is>
          <t>No</t>
        </is>
      </c>
      <c r="I1035" t="inlineStr">
        <is>
          <t>1</t>
        </is>
      </c>
      <c r="J1035" t="inlineStr">
        <is>
          <t>No</t>
        </is>
      </c>
      <c r="K1035" t="inlineStr">
        <is>
          <t>No</t>
        </is>
      </c>
      <c r="L1035" t="inlineStr">
        <is>
          <t>0</t>
        </is>
      </c>
      <c r="M1035" t="inlineStr">
        <is>
          <t>Moraczewski, Albert S., 1920-2008.</t>
        </is>
      </c>
      <c r="N1035" t="inlineStr">
        <is>
          <t>St. Louis, MO : Catholic Health Association of the United States, c1982.</t>
        </is>
      </c>
      <c r="O1035" t="inlineStr">
        <is>
          <t>1982</t>
        </is>
      </c>
      <c r="Q1035" t="inlineStr">
        <is>
          <t>eng</t>
        </is>
      </c>
      <c r="R1035" t="inlineStr">
        <is>
          <t>mou</t>
        </is>
      </c>
      <c r="T1035" t="inlineStr">
        <is>
          <t xml:space="preserve">W  </t>
        </is>
      </c>
      <c r="U1035" t="n">
        <v>5</v>
      </c>
      <c r="V1035" t="n">
        <v>5</v>
      </c>
      <c r="W1035" t="inlineStr">
        <is>
          <t>2005-10-31</t>
        </is>
      </c>
      <c r="X1035" t="inlineStr">
        <is>
          <t>2005-10-31</t>
        </is>
      </c>
      <c r="Y1035" t="inlineStr">
        <is>
          <t>1987-12-30</t>
        </is>
      </c>
      <c r="Z1035" t="inlineStr">
        <is>
          <t>1987-12-30</t>
        </is>
      </c>
      <c r="AA1035" t="n">
        <v>184</v>
      </c>
      <c r="AB1035" t="n">
        <v>166</v>
      </c>
      <c r="AC1035" t="n">
        <v>167</v>
      </c>
      <c r="AD1035" t="n">
        <v>2</v>
      </c>
      <c r="AE1035" t="n">
        <v>2</v>
      </c>
      <c r="AF1035" t="n">
        <v>13</v>
      </c>
      <c r="AG1035" t="n">
        <v>13</v>
      </c>
      <c r="AH1035" t="n">
        <v>2</v>
      </c>
      <c r="AI1035" t="n">
        <v>2</v>
      </c>
      <c r="AJ1035" t="n">
        <v>2</v>
      </c>
      <c r="AK1035" t="n">
        <v>2</v>
      </c>
      <c r="AL1035" t="n">
        <v>7</v>
      </c>
      <c r="AM1035" t="n">
        <v>7</v>
      </c>
      <c r="AN1035" t="n">
        <v>0</v>
      </c>
      <c r="AO1035" t="n">
        <v>0</v>
      </c>
      <c r="AP1035" t="n">
        <v>5</v>
      </c>
      <c r="AQ1035" t="n">
        <v>5</v>
      </c>
      <c r="AR1035" t="inlineStr">
        <is>
          <t>No</t>
        </is>
      </c>
      <c r="AS1035" t="inlineStr">
        <is>
          <t>No</t>
        </is>
      </c>
      <c r="AU1035">
        <f>HYPERLINK("https://creighton-primo.hosted.exlibrisgroup.com/primo-explore/search?tab=default_tab&amp;search_scope=EVERYTHING&amp;vid=01CRU&amp;lang=en_US&amp;offset=0&amp;query=any,contains,991001545119702656","Catalog Record")</f>
        <v/>
      </c>
      <c r="AV1035">
        <f>HYPERLINK("http://www.worldcat.org/oclc/8195707","WorldCat Record")</f>
        <v/>
      </c>
      <c r="AW1035" t="inlineStr">
        <is>
          <t>982097966:eng</t>
        </is>
      </c>
      <c r="AX1035" t="inlineStr">
        <is>
          <t>8195707</t>
        </is>
      </c>
      <c r="AY1035" t="inlineStr">
        <is>
          <t>991001545119702656</t>
        </is>
      </c>
      <c r="AZ1035" t="inlineStr">
        <is>
          <t>991001545119702656</t>
        </is>
      </c>
      <c r="BA1035" t="inlineStr">
        <is>
          <t>2268283650002656</t>
        </is>
      </c>
      <c r="BB1035" t="inlineStr">
        <is>
          <t>BOOK</t>
        </is>
      </c>
      <c r="BD1035" t="inlineStr">
        <is>
          <t>9780871250728</t>
        </is>
      </c>
      <c r="BE1035" t="inlineStr">
        <is>
          <t>30001000637423</t>
        </is>
      </c>
      <c r="BF1035" t="inlineStr">
        <is>
          <t>893465644</t>
        </is>
      </c>
    </row>
    <row r="1036">
      <c r="A1036" t="inlineStr">
        <is>
          <t>No</t>
        </is>
      </c>
      <c r="B1036" t="inlineStr">
        <is>
          <t>CUHSL</t>
        </is>
      </c>
      <c r="C1036" t="inlineStr">
        <is>
          <t>SHELVES</t>
        </is>
      </c>
      <c r="D1036" t="inlineStr">
        <is>
          <t>W 820 P371 1987</t>
        </is>
      </c>
      <c r="E1036" t="inlineStr">
        <is>
          <t>0                      W  0820000P  371         1987</t>
        </is>
      </c>
      <c r="F1036" t="inlineStr">
        <is>
          <t>Pediatric brain death and organ/tissue retrieval : medical, ethical, and legal aspects / edited by Howard H. Kaufman.</t>
        </is>
      </c>
      <c r="H1036" t="inlineStr">
        <is>
          <t>No</t>
        </is>
      </c>
      <c r="I1036" t="inlineStr">
        <is>
          <t>1</t>
        </is>
      </c>
      <c r="J1036" t="inlineStr">
        <is>
          <t>No</t>
        </is>
      </c>
      <c r="K1036" t="inlineStr">
        <is>
          <t>No</t>
        </is>
      </c>
      <c r="L1036" t="inlineStr">
        <is>
          <t>0</t>
        </is>
      </c>
      <c r="N1036" t="inlineStr">
        <is>
          <t>New York : Plenum Medical Book Co., c1989.</t>
        </is>
      </c>
      <c r="O1036" t="inlineStr">
        <is>
          <t>1989</t>
        </is>
      </c>
      <c r="Q1036" t="inlineStr">
        <is>
          <t>eng</t>
        </is>
      </c>
      <c r="R1036" t="inlineStr">
        <is>
          <t>xxu</t>
        </is>
      </c>
      <c r="T1036" t="inlineStr">
        <is>
          <t xml:space="preserve">W  </t>
        </is>
      </c>
      <c r="U1036" t="n">
        <v>5</v>
      </c>
      <c r="V1036" t="n">
        <v>5</v>
      </c>
      <c r="W1036" t="inlineStr">
        <is>
          <t>1989-09-20</t>
        </is>
      </c>
      <c r="X1036" t="inlineStr">
        <is>
          <t>1989-09-20</t>
        </is>
      </c>
      <c r="Y1036" t="inlineStr">
        <is>
          <t>1989-09-07</t>
        </is>
      </c>
      <c r="Z1036" t="inlineStr">
        <is>
          <t>1989-09-07</t>
        </is>
      </c>
      <c r="AA1036" t="n">
        <v>143</v>
      </c>
      <c r="AB1036" t="n">
        <v>115</v>
      </c>
      <c r="AC1036" t="n">
        <v>139</v>
      </c>
      <c r="AD1036" t="n">
        <v>2</v>
      </c>
      <c r="AE1036" t="n">
        <v>2</v>
      </c>
      <c r="AF1036" t="n">
        <v>2</v>
      </c>
      <c r="AG1036" t="n">
        <v>2</v>
      </c>
      <c r="AH1036" t="n">
        <v>0</v>
      </c>
      <c r="AI1036" t="n">
        <v>0</v>
      </c>
      <c r="AJ1036" t="n">
        <v>0</v>
      </c>
      <c r="AK1036" t="n">
        <v>0</v>
      </c>
      <c r="AL1036" t="n">
        <v>1</v>
      </c>
      <c r="AM1036" t="n">
        <v>1</v>
      </c>
      <c r="AN1036" t="n">
        <v>1</v>
      </c>
      <c r="AO1036" t="n">
        <v>1</v>
      </c>
      <c r="AP1036" t="n">
        <v>0</v>
      </c>
      <c r="AQ1036" t="n">
        <v>0</v>
      </c>
      <c r="AR1036" t="inlineStr">
        <is>
          <t>No</t>
        </is>
      </c>
      <c r="AS1036" t="inlineStr">
        <is>
          <t>Yes</t>
        </is>
      </c>
      <c r="AT1036">
        <f>HYPERLINK("http://catalog.hathitrust.org/Record/001304044","HathiTrust Record")</f>
        <v/>
      </c>
      <c r="AU1036">
        <f>HYPERLINK("https://creighton-primo.hosted.exlibrisgroup.com/primo-explore/search?tab=default_tab&amp;search_scope=EVERYTHING&amp;vid=01CRU&amp;lang=en_US&amp;offset=0&amp;query=any,contains,991001316669702656","Catalog Record")</f>
        <v/>
      </c>
      <c r="AV1036">
        <f>HYPERLINK("http://www.worldcat.org/oclc/18834557","WorldCat Record")</f>
        <v/>
      </c>
      <c r="AW1036" t="inlineStr">
        <is>
          <t>18971842:eng</t>
        </is>
      </c>
      <c r="AX1036" t="inlineStr">
        <is>
          <t>18834557</t>
        </is>
      </c>
      <c r="AY1036" t="inlineStr">
        <is>
          <t>991001316669702656</t>
        </is>
      </c>
      <c r="AZ1036" t="inlineStr">
        <is>
          <t>991001316669702656</t>
        </is>
      </c>
      <c r="BA1036" t="inlineStr">
        <is>
          <t>2265050960002656</t>
        </is>
      </c>
      <c r="BB1036" t="inlineStr">
        <is>
          <t>BOOK</t>
        </is>
      </c>
      <c r="BD1036" t="inlineStr">
        <is>
          <t>9780306429736</t>
        </is>
      </c>
      <c r="BE1036" t="inlineStr">
        <is>
          <t>30001001753096</t>
        </is>
      </c>
      <c r="BF1036" t="inlineStr">
        <is>
          <t>893358455</t>
        </is>
      </c>
    </row>
    <row r="1037">
      <c r="A1037" t="inlineStr">
        <is>
          <t>No</t>
        </is>
      </c>
      <c r="B1037" t="inlineStr">
        <is>
          <t>CUHSL</t>
        </is>
      </c>
      <c r="C1037" t="inlineStr">
        <is>
          <t>SHELVES</t>
        </is>
      </c>
      <c r="D1037" t="inlineStr">
        <is>
          <t>W 820 W177c 1985</t>
        </is>
      </c>
      <c r="E1037" t="inlineStr">
        <is>
          <t>0                      W  0820000W  177c        1985</t>
        </is>
      </c>
      <c r="F1037" t="inlineStr">
        <is>
          <t>Cerebral death / A. Earl Walker.</t>
        </is>
      </c>
      <c r="H1037" t="inlineStr">
        <is>
          <t>No</t>
        </is>
      </c>
      <c r="I1037" t="inlineStr">
        <is>
          <t>1</t>
        </is>
      </c>
      <c r="J1037" t="inlineStr">
        <is>
          <t>No</t>
        </is>
      </c>
      <c r="K1037" t="inlineStr">
        <is>
          <t>No</t>
        </is>
      </c>
      <c r="L1037" t="inlineStr">
        <is>
          <t>0</t>
        </is>
      </c>
      <c r="M1037" t="inlineStr">
        <is>
          <t>Walker, A. Earl (Arthur Earl), 1907-1995.</t>
        </is>
      </c>
      <c r="N1037" t="inlineStr">
        <is>
          <t>Baltimore : Urban &amp; Schwarzenberg, c1985.</t>
        </is>
      </c>
      <c r="O1037" t="inlineStr">
        <is>
          <t>1985</t>
        </is>
      </c>
      <c r="P1037" t="inlineStr">
        <is>
          <t>3rd ed.</t>
        </is>
      </c>
      <c r="Q1037" t="inlineStr">
        <is>
          <t>eng</t>
        </is>
      </c>
      <c r="R1037" t="inlineStr">
        <is>
          <t>xxu</t>
        </is>
      </c>
      <c r="T1037" t="inlineStr">
        <is>
          <t xml:space="preserve">W  </t>
        </is>
      </c>
      <c r="U1037" t="n">
        <v>7</v>
      </c>
      <c r="V1037" t="n">
        <v>7</v>
      </c>
      <c r="W1037" t="inlineStr">
        <is>
          <t>2005-10-31</t>
        </is>
      </c>
      <c r="X1037" t="inlineStr">
        <is>
          <t>2005-10-31</t>
        </is>
      </c>
      <c r="Y1037" t="inlineStr">
        <is>
          <t>1987-12-30</t>
        </is>
      </c>
      <c r="Z1037" t="inlineStr">
        <is>
          <t>1987-12-30</t>
        </is>
      </c>
      <c r="AA1037" t="n">
        <v>230</v>
      </c>
      <c r="AB1037" t="n">
        <v>186</v>
      </c>
      <c r="AC1037" t="n">
        <v>372</v>
      </c>
      <c r="AD1037" t="n">
        <v>1</v>
      </c>
      <c r="AE1037" t="n">
        <v>3</v>
      </c>
      <c r="AF1037" t="n">
        <v>4</v>
      </c>
      <c r="AG1037" t="n">
        <v>19</v>
      </c>
      <c r="AH1037" t="n">
        <v>0</v>
      </c>
      <c r="AI1037" t="n">
        <v>2</v>
      </c>
      <c r="AJ1037" t="n">
        <v>2</v>
      </c>
      <c r="AK1037" t="n">
        <v>3</v>
      </c>
      <c r="AL1037" t="n">
        <v>3</v>
      </c>
      <c r="AM1037" t="n">
        <v>8</v>
      </c>
      <c r="AN1037" t="n">
        <v>0</v>
      </c>
      <c r="AO1037" t="n">
        <v>2</v>
      </c>
      <c r="AP1037" t="n">
        <v>0</v>
      </c>
      <c r="AQ1037" t="n">
        <v>8</v>
      </c>
      <c r="AR1037" t="inlineStr">
        <is>
          <t>No</t>
        </is>
      </c>
      <c r="AS1037" t="inlineStr">
        <is>
          <t>Yes</t>
        </is>
      </c>
      <c r="AT1037">
        <f>HYPERLINK("http://catalog.hathitrust.org/Record/000571883","HathiTrust Record")</f>
        <v/>
      </c>
      <c r="AU1037">
        <f>HYPERLINK("https://creighton-primo.hosted.exlibrisgroup.com/primo-explore/search?tab=default_tab&amp;search_scope=EVERYTHING&amp;vid=01CRU&amp;lang=en_US&amp;offset=0&amp;query=any,contains,991001545169702656","Catalog Record")</f>
        <v/>
      </c>
      <c r="AV1037">
        <f>HYPERLINK("http://www.worldcat.org/oclc/11754531","WorldCat Record")</f>
        <v/>
      </c>
      <c r="AW1037" t="inlineStr">
        <is>
          <t>4288501:eng</t>
        </is>
      </c>
      <c r="AX1037" t="inlineStr">
        <is>
          <t>11754531</t>
        </is>
      </c>
      <c r="AY1037" t="inlineStr">
        <is>
          <t>991001545169702656</t>
        </is>
      </c>
      <c r="AZ1037" t="inlineStr">
        <is>
          <t>991001545169702656</t>
        </is>
      </c>
      <c r="BA1037" t="inlineStr">
        <is>
          <t>2256622280002656</t>
        </is>
      </c>
      <c r="BB1037" t="inlineStr">
        <is>
          <t>BOOK</t>
        </is>
      </c>
      <c r="BD1037" t="inlineStr">
        <is>
          <t>9780806721439</t>
        </is>
      </c>
      <c r="BE1037" t="inlineStr">
        <is>
          <t>30001000637449</t>
        </is>
      </c>
      <c r="BF1037" t="inlineStr">
        <is>
          <t>893638427</t>
        </is>
      </c>
    </row>
    <row r="1038">
      <c r="A1038" t="inlineStr">
        <is>
          <t>No</t>
        </is>
      </c>
      <c r="B1038" t="inlineStr">
        <is>
          <t>CUHSL</t>
        </is>
      </c>
      <c r="C1038" t="inlineStr">
        <is>
          <t>SHELVES</t>
        </is>
      </c>
      <c r="D1038" t="inlineStr">
        <is>
          <t>W 825 A509p 1970</t>
        </is>
      </c>
      <c r="E1038" t="inlineStr">
        <is>
          <t>0                      W  0825000A  509p        1970</t>
        </is>
      </c>
      <c r="F1038" t="inlineStr">
        <is>
          <t>Postmortem procedures /</t>
        </is>
      </c>
      <c r="H1038" t="inlineStr">
        <is>
          <t>No</t>
        </is>
      </c>
      <c r="I1038" t="inlineStr">
        <is>
          <t>1</t>
        </is>
      </c>
      <c r="J1038" t="inlineStr">
        <is>
          <t>No</t>
        </is>
      </c>
      <c r="K1038" t="inlineStr">
        <is>
          <t>No</t>
        </is>
      </c>
      <c r="L1038" t="inlineStr">
        <is>
          <t>0</t>
        </is>
      </c>
      <c r="M1038" t="inlineStr">
        <is>
          <t>American Hospital Association.</t>
        </is>
      </c>
      <c r="N1038" t="inlineStr">
        <is>
          <t>Chicago : American Hospital Association, c1970.</t>
        </is>
      </c>
      <c r="O1038" t="inlineStr">
        <is>
          <t>1970</t>
        </is>
      </c>
      <c r="Q1038" t="inlineStr">
        <is>
          <t>eng</t>
        </is>
      </c>
      <c r="R1038" t="inlineStr">
        <is>
          <t xml:space="preserve">xx </t>
        </is>
      </c>
      <c r="T1038" t="inlineStr">
        <is>
          <t xml:space="preserve">W  </t>
        </is>
      </c>
      <c r="U1038" t="n">
        <v>4</v>
      </c>
      <c r="V1038" t="n">
        <v>4</v>
      </c>
      <c r="W1038" t="inlineStr">
        <is>
          <t>1999-05-05</t>
        </is>
      </c>
      <c r="X1038" t="inlineStr">
        <is>
          <t>1999-05-05</t>
        </is>
      </c>
      <c r="Y1038" t="inlineStr">
        <is>
          <t>1988-01-18</t>
        </is>
      </c>
      <c r="Z1038" t="inlineStr">
        <is>
          <t>1988-01-18</t>
        </is>
      </c>
      <c r="AA1038" t="n">
        <v>73</v>
      </c>
      <c r="AB1038" t="n">
        <v>66</v>
      </c>
      <c r="AC1038" t="n">
        <v>68</v>
      </c>
      <c r="AD1038" t="n">
        <v>1</v>
      </c>
      <c r="AE1038" t="n">
        <v>1</v>
      </c>
      <c r="AF1038" t="n">
        <v>0</v>
      </c>
      <c r="AG1038" t="n">
        <v>0</v>
      </c>
      <c r="AH1038" t="n">
        <v>0</v>
      </c>
      <c r="AI1038" t="n">
        <v>0</v>
      </c>
      <c r="AJ1038" t="n">
        <v>0</v>
      </c>
      <c r="AK1038" t="n">
        <v>0</v>
      </c>
      <c r="AL1038" t="n">
        <v>0</v>
      </c>
      <c r="AM1038" t="n">
        <v>0</v>
      </c>
      <c r="AN1038" t="n">
        <v>0</v>
      </c>
      <c r="AO1038" t="n">
        <v>0</v>
      </c>
      <c r="AP1038" t="n">
        <v>0</v>
      </c>
      <c r="AQ1038" t="n">
        <v>0</v>
      </c>
      <c r="AR1038" t="inlineStr">
        <is>
          <t>No</t>
        </is>
      </c>
      <c r="AS1038" t="inlineStr">
        <is>
          <t>Yes</t>
        </is>
      </c>
      <c r="AT1038">
        <f>HYPERLINK("http://catalog.hathitrust.org/Record/010613192","HathiTrust Record")</f>
        <v/>
      </c>
      <c r="AU1038">
        <f>HYPERLINK("https://creighton-primo.hosted.exlibrisgroup.com/primo-explore/search?tab=default_tab&amp;search_scope=EVERYTHING&amp;vid=01CRU&amp;lang=en_US&amp;offset=0&amp;query=any,contains,991001545219702656","Catalog Record")</f>
        <v/>
      </c>
      <c r="AV1038">
        <f>HYPERLINK("http://www.worldcat.org/oclc/2101735","WorldCat Record")</f>
        <v/>
      </c>
      <c r="AW1038" t="inlineStr">
        <is>
          <t>3471439:eng</t>
        </is>
      </c>
      <c r="AX1038" t="inlineStr">
        <is>
          <t>2101735</t>
        </is>
      </c>
      <c r="AY1038" t="inlineStr">
        <is>
          <t>991001545219702656</t>
        </is>
      </c>
      <c r="AZ1038" t="inlineStr">
        <is>
          <t>991001545219702656</t>
        </is>
      </c>
      <c r="BA1038" t="inlineStr">
        <is>
          <t>2263290360002656</t>
        </is>
      </c>
      <c r="BB1038" t="inlineStr">
        <is>
          <t>BOOK</t>
        </is>
      </c>
      <c r="BE1038" t="inlineStr">
        <is>
          <t>30001000637480</t>
        </is>
      </c>
      <c r="BF1038" t="inlineStr">
        <is>
          <t>893149326</t>
        </is>
      </c>
    </row>
    <row r="1039">
      <c r="A1039" t="inlineStr">
        <is>
          <t>No</t>
        </is>
      </c>
      <c r="B1039" t="inlineStr">
        <is>
          <t>CUHSL</t>
        </is>
      </c>
      <c r="C1039" t="inlineStr">
        <is>
          <t>SHELVES</t>
        </is>
      </c>
      <c r="D1039" t="inlineStr">
        <is>
          <t>W 860 V7943 2001</t>
        </is>
      </c>
      <c r="E1039" t="inlineStr">
        <is>
          <t>0                      W  0860000V  7943        2001</t>
        </is>
      </c>
      <c r="F1039" t="inlineStr">
        <is>
          <t>Violence in health care : understanding, preventing, and surviving violence : a practical guide for health professionals / edited by Joanthan Shepherd.</t>
        </is>
      </c>
      <c r="H1039" t="inlineStr">
        <is>
          <t>No</t>
        </is>
      </c>
      <c r="I1039" t="inlineStr">
        <is>
          <t>1</t>
        </is>
      </c>
      <c r="J1039" t="inlineStr">
        <is>
          <t>No</t>
        </is>
      </c>
      <c r="K1039" t="inlineStr">
        <is>
          <t>No</t>
        </is>
      </c>
      <c r="L1039" t="inlineStr">
        <is>
          <t>0</t>
        </is>
      </c>
      <c r="N1039" t="inlineStr">
        <is>
          <t>Oxford ; New York : Oxford University Press, 2001.</t>
        </is>
      </c>
      <c r="O1039" t="inlineStr">
        <is>
          <t>2001</t>
        </is>
      </c>
      <c r="P1039" t="inlineStr">
        <is>
          <t>2nd ed.</t>
        </is>
      </c>
      <c r="Q1039" t="inlineStr">
        <is>
          <t>eng</t>
        </is>
      </c>
      <c r="R1039" t="inlineStr">
        <is>
          <t>enk</t>
        </is>
      </c>
      <c r="T1039" t="inlineStr">
        <is>
          <t xml:space="preserve">W  </t>
        </is>
      </c>
      <c r="U1039" t="n">
        <v>0</v>
      </c>
      <c r="V1039" t="n">
        <v>0</v>
      </c>
      <c r="W1039" t="inlineStr">
        <is>
          <t>2003-10-17</t>
        </is>
      </c>
      <c r="X1039" t="inlineStr">
        <is>
          <t>2003-10-17</t>
        </is>
      </c>
      <c r="Y1039" t="inlineStr">
        <is>
          <t>2003-10-17</t>
        </is>
      </c>
      <c r="Z1039" t="inlineStr">
        <is>
          <t>2003-10-17</t>
        </is>
      </c>
      <c r="AA1039" t="n">
        <v>173</v>
      </c>
      <c r="AB1039" t="n">
        <v>96</v>
      </c>
      <c r="AC1039" t="n">
        <v>101</v>
      </c>
      <c r="AD1039" t="n">
        <v>1</v>
      </c>
      <c r="AE1039" t="n">
        <v>1</v>
      </c>
      <c r="AF1039" t="n">
        <v>2</v>
      </c>
      <c r="AG1039" t="n">
        <v>2</v>
      </c>
      <c r="AH1039" t="n">
        <v>0</v>
      </c>
      <c r="AI1039" t="n">
        <v>0</v>
      </c>
      <c r="AJ1039" t="n">
        <v>1</v>
      </c>
      <c r="AK1039" t="n">
        <v>1</v>
      </c>
      <c r="AL1039" t="n">
        <v>1</v>
      </c>
      <c r="AM1039" t="n">
        <v>1</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HYPERLINK("https://creighton-primo.hosted.exlibrisgroup.com/primo-explore/search?tab=default_tab&amp;search_scope=EVERYTHING&amp;vid=01CRU&amp;lang=en_US&amp;offset=0&amp;query=any,contains,991000358479702656","Catalog Record")</f>
        <v/>
      </c>
      <c r="AV1039">
        <f>HYPERLINK("http://www.worldcat.org/oclc/46640695","WorldCat Record")</f>
        <v/>
      </c>
      <c r="AW1039" t="inlineStr">
        <is>
          <t>837070527:eng</t>
        </is>
      </c>
      <c r="AX1039" t="inlineStr">
        <is>
          <t>46640695</t>
        </is>
      </c>
      <c r="AY1039" t="inlineStr">
        <is>
          <t>991000358479702656</t>
        </is>
      </c>
      <c r="AZ1039" t="inlineStr">
        <is>
          <t>991000358479702656</t>
        </is>
      </c>
      <c r="BA1039" t="inlineStr">
        <is>
          <t>2266562400002656</t>
        </is>
      </c>
      <c r="BB1039" t="inlineStr">
        <is>
          <t>BOOK</t>
        </is>
      </c>
      <c r="BD1039" t="inlineStr">
        <is>
          <t>9780192631435</t>
        </is>
      </c>
      <c r="BE1039" t="inlineStr">
        <is>
          <t>30001004218022</t>
        </is>
      </c>
      <c r="BF1039" t="inlineStr">
        <is>
          <t>893456635</t>
        </is>
      </c>
    </row>
    <row r="1040">
      <c r="A1040" t="inlineStr">
        <is>
          <t>No</t>
        </is>
      </c>
      <c r="B1040" t="inlineStr">
        <is>
          <t>CUHSL</t>
        </is>
      </c>
      <c r="C1040" t="inlineStr">
        <is>
          <t>SHELVES</t>
        </is>
      </c>
      <c r="D1040" t="inlineStr">
        <is>
          <t>W 860 V795 1995</t>
        </is>
      </c>
      <c r="E1040" t="inlineStr">
        <is>
          <t>0                      W  0860000V  795         1995</t>
        </is>
      </c>
      <c r="F1040" t="inlineStr">
        <is>
          <t>Violence : a plague in our land / American Academy of Nursing.</t>
        </is>
      </c>
      <c r="H1040" t="inlineStr">
        <is>
          <t>No</t>
        </is>
      </c>
      <c r="I1040" t="inlineStr">
        <is>
          <t>1</t>
        </is>
      </c>
      <c r="J1040" t="inlineStr">
        <is>
          <t>No</t>
        </is>
      </c>
      <c r="K1040" t="inlineStr">
        <is>
          <t>No</t>
        </is>
      </c>
      <c r="L1040" t="inlineStr">
        <is>
          <t>0</t>
        </is>
      </c>
      <c r="N1040" t="inlineStr">
        <is>
          <t>Washington, D.C. : American Academy of Nursing, 1995.</t>
        </is>
      </c>
      <c r="O1040" t="inlineStr">
        <is>
          <t>1995</t>
        </is>
      </c>
      <c r="Q1040" t="inlineStr">
        <is>
          <t>eng</t>
        </is>
      </c>
      <c r="R1040" t="inlineStr">
        <is>
          <t>dcu</t>
        </is>
      </c>
      <c r="S1040" t="inlineStr">
        <is>
          <t>ANA pub ; no. G-187</t>
        </is>
      </c>
      <c r="T1040" t="inlineStr">
        <is>
          <t xml:space="preserve">W  </t>
        </is>
      </c>
      <c r="U1040" t="n">
        <v>1</v>
      </c>
      <c r="V1040" t="n">
        <v>1</v>
      </c>
      <c r="W1040" t="inlineStr">
        <is>
          <t>2002-09-06</t>
        </is>
      </c>
      <c r="X1040" t="inlineStr">
        <is>
          <t>2002-09-06</t>
        </is>
      </c>
      <c r="Y1040" t="inlineStr">
        <is>
          <t>2000-06-15</t>
        </is>
      </c>
      <c r="Z1040" t="inlineStr">
        <is>
          <t>2000-06-15</t>
        </is>
      </c>
      <c r="AA1040" t="n">
        <v>136</v>
      </c>
      <c r="AB1040" t="n">
        <v>132</v>
      </c>
      <c r="AC1040" t="n">
        <v>134</v>
      </c>
      <c r="AD1040" t="n">
        <v>1</v>
      </c>
      <c r="AE1040" t="n">
        <v>1</v>
      </c>
      <c r="AF1040" t="n">
        <v>12</v>
      </c>
      <c r="AG1040" t="n">
        <v>12</v>
      </c>
      <c r="AH1040" t="n">
        <v>5</v>
      </c>
      <c r="AI1040" t="n">
        <v>5</v>
      </c>
      <c r="AJ1040" t="n">
        <v>4</v>
      </c>
      <c r="AK1040" t="n">
        <v>4</v>
      </c>
      <c r="AL1040" t="n">
        <v>6</v>
      </c>
      <c r="AM1040" t="n">
        <v>6</v>
      </c>
      <c r="AN1040" t="n">
        <v>0</v>
      </c>
      <c r="AO1040" t="n">
        <v>0</v>
      </c>
      <c r="AP1040" t="n">
        <v>0</v>
      </c>
      <c r="AQ1040" t="n">
        <v>0</v>
      </c>
      <c r="AR1040" t="inlineStr">
        <is>
          <t>No</t>
        </is>
      </c>
      <c r="AS1040" t="inlineStr">
        <is>
          <t>Yes</t>
        </is>
      </c>
      <c r="AT1040">
        <f>HYPERLINK("http://catalog.hathitrust.org/Record/003045662","HathiTrust Record")</f>
        <v/>
      </c>
      <c r="AU1040">
        <f>HYPERLINK("https://creighton-primo.hosted.exlibrisgroup.com/primo-explore/search?tab=default_tab&amp;search_scope=EVERYTHING&amp;vid=01CRU&amp;lang=en_US&amp;offset=0&amp;query=any,contains,991000258179702656","Catalog Record")</f>
        <v/>
      </c>
      <c r="AV1040">
        <f>HYPERLINK("http://www.worldcat.org/oclc/33396018","WorldCat Record")</f>
        <v/>
      </c>
      <c r="AW1040" t="inlineStr">
        <is>
          <t>475040837:eng</t>
        </is>
      </c>
      <c r="AX1040" t="inlineStr">
        <is>
          <t>33396018</t>
        </is>
      </c>
      <c r="AY1040" t="inlineStr">
        <is>
          <t>991000258179702656</t>
        </is>
      </c>
      <c r="AZ1040" t="inlineStr">
        <is>
          <t>991000258179702656</t>
        </is>
      </c>
      <c r="BA1040" t="inlineStr">
        <is>
          <t>2255514980002656</t>
        </is>
      </c>
      <c r="BB1040" t="inlineStr">
        <is>
          <t>BOOK</t>
        </is>
      </c>
      <c r="BD1040" t="inlineStr">
        <is>
          <t>9781558100848</t>
        </is>
      </c>
      <c r="BE1040" t="inlineStr">
        <is>
          <t>30001003325091</t>
        </is>
      </c>
      <c r="BF1040" t="inlineStr">
        <is>
          <t>893542071</t>
        </is>
      </c>
    </row>
    <row r="1041">
      <c r="A1041" t="inlineStr">
        <is>
          <t>No</t>
        </is>
      </c>
      <c r="B1041" t="inlineStr">
        <is>
          <t>CUHSL</t>
        </is>
      </c>
      <c r="C1041" t="inlineStr">
        <is>
          <t>SHELVES</t>
        </is>
      </c>
      <c r="D1041" t="inlineStr">
        <is>
          <t>W 867 Q2</t>
        </is>
      </c>
      <c r="E1041" t="inlineStr">
        <is>
          <t>0                      W  0867000Q  2</t>
        </is>
      </c>
      <c r="F1041" t="inlineStr">
        <is>
          <t>Justifiable abortion : medical and legal foundations.</t>
        </is>
      </c>
      <c r="G1041" t="inlineStr">
        <is>
          <t>V. 49 NO. 2</t>
        </is>
      </c>
      <c r="H1041" t="inlineStr">
        <is>
          <t>No</t>
        </is>
      </c>
      <c r="I1041" t="inlineStr">
        <is>
          <t>1</t>
        </is>
      </c>
      <c r="J1041" t="inlineStr">
        <is>
          <t>No</t>
        </is>
      </c>
      <c r="K1041" t="inlineStr">
        <is>
          <t>No</t>
        </is>
      </c>
      <c r="L1041" t="inlineStr">
        <is>
          <t>0</t>
        </is>
      </c>
      <c r="M1041" t="inlineStr">
        <is>
          <t>Quay, Eugene.</t>
        </is>
      </c>
      <c r="N1041" t="inlineStr">
        <is>
          <t>Washington : Family Life Bureau, National Catholic Welfare Conference, 1961.</t>
        </is>
      </c>
      <c r="O1041" t="inlineStr">
        <is>
          <t>1961</t>
        </is>
      </c>
      <c r="Q1041" t="inlineStr">
        <is>
          <t>eng</t>
        </is>
      </c>
      <c r="R1041" t="inlineStr">
        <is>
          <t xml:space="preserve">xx </t>
        </is>
      </c>
      <c r="T1041" t="inlineStr">
        <is>
          <t xml:space="preserve">W  </t>
        </is>
      </c>
      <c r="U1041" t="n">
        <v>2</v>
      </c>
      <c r="V1041" t="n">
        <v>2</v>
      </c>
      <c r="W1041" t="inlineStr">
        <is>
          <t>1990-02-15</t>
        </is>
      </c>
      <c r="X1041" t="inlineStr">
        <is>
          <t>1990-02-15</t>
        </is>
      </c>
      <c r="Y1041" t="inlineStr">
        <is>
          <t>1988-01-18</t>
        </is>
      </c>
      <c r="Z1041" t="inlineStr">
        <is>
          <t>1988-01-18</t>
        </is>
      </c>
      <c r="AA1041" t="n">
        <v>74</v>
      </c>
      <c r="AB1041" t="n">
        <v>70</v>
      </c>
      <c r="AC1041" t="n">
        <v>74</v>
      </c>
      <c r="AD1041" t="n">
        <v>1</v>
      </c>
      <c r="AE1041" t="n">
        <v>1</v>
      </c>
      <c r="AF1041" t="n">
        <v>12</v>
      </c>
      <c r="AG1041" t="n">
        <v>12</v>
      </c>
      <c r="AH1041" t="n">
        <v>3</v>
      </c>
      <c r="AI1041" t="n">
        <v>3</v>
      </c>
      <c r="AJ1041" t="n">
        <v>1</v>
      </c>
      <c r="AK1041" t="n">
        <v>1</v>
      </c>
      <c r="AL1041" t="n">
        <v>9</v>
      </c>
      <c r="AM1041" t="n">
        <v>9</v>
      </c>
      <c r="AN1041" t="n">
        <v>0</v>
      </c>
      <c r="AO1041" t="n">
        <v>0</v>
      </c>
      <c r="AP1041" t="n">
        <v>1</v>
      </c>
      <c r="AQ1041" t="n">
        <v>1</v>
      </c>
      <c r="AR1041" t="inlineStr">
        <is>
          <t>No</t>
        </is>
      </c>
      <c r="AS1041" t="inlineStr">
        <is>
          <t>Yes</t>
        </is>
      </c>
      <c r="AT1041">
        <f>HYPERLINK("http://catalog.hathitrust.org/Record/102461824","HathiTrust Record")</f>
        <v/>
      </c>
      <c r="AU1041">
        <f>HYPERLINK("https://creighton-primo.hosted.exlibrisgroup.com/primo-explore/search?tab=default_tab&amp;search_scope=EVERYTHING&amp;vid=01CRU&amp;lang=en_US&amp;offset=0&amp;query=any,contains,991001545299702656","Catalog Record")</f>
        <v/>
      </c>
      <c r="AV1041">
        <f>HYPERLINK("http://www.worldcat.org/oclc/2549303","WorldCat Record")</f>
        <v/>
      </c>
      <c r="AW1041" t="inlineStr">
        <is>
          <t>345580894:eng</t>
        </is>
      </c>
      <c r="AX1041" t="inlineStr">
        <is>
          <t>2549303</t>
        </is>
      </c>
      <c r="AY1041" t="inlineStr">
        <is>
          <t>991001545299702656</t>
        </is>
      </c>
      <c r="AZ1041" t="inlineStr">
        <is>
          <t>991001545299702656</t>
        </is>
      </c>
      <c r="BA1041" t="inlineStr">
        <is>
          <t>2266695150002656</t>
        </is>
      </c>
      <c r="BB1041" t="inlineStr">
        <is>
          <t>BOOK</t>
        </is>
      </c>
      <c r="BE1041" t="inlineStr">
        <is>
          <t>30001000637548</t>
        </is>
      </c>
      <c r="BF1041" t="inlineStr">
        <is>
          <t>893821332</t>
        </is>
      </c>
    </row>
    <row r="1042">
      <c r="A1042" t="inlineStr">
        <is>
          <t>No</t>
        </is>
      </c>
      <c r="B1042" t="inlineStr">
        <is>
          <t>CUHSL</t>
        </is>
      </c>
      <c r="C1042" t="inlineStr">
        <is>
          <t>SHELVES</t>
        </is>
      </c>
      <c r="D1042" t="inlineStr">
        <is>
          <t>W 900 P637n 2007</t>
        </is>
      </c>
      <c r="E1042" t="inlineStr">
        <is>
          <t>0                      W  0900000P  637n        2007</t>
        </is>
      </c>
      <c r="F1042" t="inlineStr">
        <is>
          <t>The new health insurance solution : how to get cheaper, better coverage without a traditional employer plan / Paul Zane Pilzer.</t>
        </is>
      </c>
      <c r="H1042" t="inlineStr">
        <is>
          <t>No</t>
        </is>
      </c>
      <c r="I1042" t="inlineStr">
        <is>
          <t>1</t>
        </is>
      </c>
      <c r="J1042" t="inlineStr">
        <is>
          <t>No</t>
        </is>
      </c>
      <c r="K1042" t="inlineStr">
        <is>
          <t>No</t>
        </is>
      </c>
      <c r="L1042" t="inlineStr">
        <is>
          <t>0</t>
        </is>
      </c>
      <c r="M1042" t="inlineStr">
        <is>
          <t>Pilzer, Paul Zane.</t>
        </is>
      </c>
      <c r="N1042" t="inlineStr">
        <is>
          <t>Hoboken, N.J. : John Wiley &amp; Sons, 2007.</t>
        </is>
      </c>
      <c r="O1042" t="inlineStr">
        <is>
          <t>2007</t>
        </is>
      </c>
      <c r="Q1042" t="inlineStr">
        <is>
          <t>eng</t>
        </is>
      </c>
      <c r="R1042" t="inlineStr">
        <is>
          <t>nju</t>
        </is>
      </c>
      <c r="T1042" t="inlineStr">
        <is>
          <t xml:space="preserve">W  </t>
        </is>
      </c>
      <c r="U1042" t="n">
        <v>5</v>
      </c>
      <c r="V1042" t="n">
        <v>5</v>
      </c>
      <c r="W1042" t="inlineStr">
        <is>
          <t>2008-04-20</t>
        </is>
      </c>
      <c r="X1042" t="inlineStr">
        <is>
          <t>2008-04-20</t>
        </is>
      </c>
      <c r="Y1042" t="inlineStr">
        <is>
          <t>2008-01-14</t>
        </is>
      </c>
      <c r="Z1042" t="inlineStr">
        <is>
          <t>2008-01-14</t>
        </is>
      </c>
      <c r="AA1042" t="n">
        <v>72</v>
      </c>
      <c r="AB1042" t="n">
        <v>65</v>
      </c>
      <c r="AC1042" t="n">
        <v>558</v>
      </c>
      <c r="AD1042" t="n">
        <v>3</v>
      </c>
      <c r="AE1042" t="n">
        <v>3</v>
      </c>
      <c r="AF1042" t="n">
        <v>0</v>
      </c>
      <c r="AG1042" t="n">
        <v>3</v>
      </c>
      <c r="AH1042" t="n">
        <v>0</v>
      </c>
      <c r="AI1042" t="n">
        <v>2</v>
      </c>
      <c r="AJ1042" t="n">
        <v>0</v>
      </c>
      <c r="AK1042" t="n">
        <v>2</v>
      </c>
      <c r="AL1042" t="n">
        <v>0</v>
      </c>
      <c r="AM1042" t="n">
        <v>2</v>
      </c>
      <c r="AN1042" t="n">
        <v>0</v>
      </c>
      <c r="AO1042" t="n">
        <v>0</v>
      </c>
      <c r="AP1042" t="n">
        <v>0</v>
      </c>
      <c r="AQ1042" t="n">
        <v>0</v>
      </c>
      <c r="AR1042" t="inlineStr">
        <is>
          <t>No</t>
        </is>
      </c>
      <c r="AS1042" t="inlineStr">
        <is>
          <t>No</t>
        </is>
      </c>
      <c r="AU1042">
        <f>HYPERLINK("https://creighton-primo.hosted.exlibrisgroup.com/primo-explore/search?tab=default_tab&amp;search_scope=EVERYTHING&amp;vid=01CRU&amp;lang=en_US&amp;offset=0&amp;query=any,contains,991000670559702656","Catalog Record")</f>
        <v/>
      </c>
      <c r="AV1042">
        <f>HYPERLINK("http://www.worldcat.org/oclc/93884356","WorldCat Record")</f>
        <v/>
      </c>
      <c r="AW1042" t="inlineStr">
        <is>
          <t>802034286:eng</t>
        </is>
      </c>
      <c r="AX1042" t="inlineStr">
        <is>
          <t>93884356</t>
        </is>
      </c>
      <c r="AY1042" t="inlineStr">
        <is>
          <t>991000670559702656</t>
        </is>
      </c>
      <c r="AZ1042" t="inlineStr">
        <is>
          <t>991000670559702656</t>
        </is>
      </c>
      <c r="BA1042" t="inlineStr">
        <is>
          <t>2261456980002656</t>
        </is>
      </c>
      <c r="BB1042" t="inlineStr">
        <is>
          <t>BOOK</t>
        </is>
      </c>
      <c r="BD1042" t="inlineStr">
        <is>
          <t>9780470040218</t>
        </is>
      </c>
      <c r="BE1042" t="inlineStr">
        <is>
          <t>30001005269982</t>
        </is>
      </c>
      <c r="BF1042" t="inlineStr">
        <is>
          <t>893637216</t>
        </is>
      </c>
    </row>
    <row r="1043">
      <c r="A1043" t="inlineStr">
        <is>
          <t>No</t>
        </is>
      </c>
      <c r="B1043" t="inlineStr">
        <is>
          <t>CUHSL</t>
        </is>
      </c>
      <c r="C1043" t="inlineStr">
        <is>
          <t>SHELVES</t>
        </is>
      </c>
      <c r="D1043" t="inlineStr">
        <is>
          <t>W925 D611 2003</t>
        </is>
      </c>
      <c r="E1043" t="inlineStr">
        <is>
          <t>0                      W  0925000D  611         2003</t>
        </is>
      </c>
      <c r="F1043" t="inlineStr">
        <is>
          <t>Disability evaluation / [edited by] Stephen L. Demeter, Gunnar B.J. Andersson.</t>
        </is>
      </c>
      <c r="H1043" t="inlineStr">
        <is>
          <t>No</t>
        </is>
      </c>
      <c r="I1043" t="inlineStr">
        <is>
          <t>1</t>
        </is>
      </c>
      <c r="J1043" t="inlineStr">
        <is>
          <t>Yes</t>
        </is>
      </c>
      <c r="K1043" t="inlineStr">
        <is>
          <t>No</t>
        </is>
      </c>
      <c r="L1043" t="inlineStr">
        <is>
          <t>0</t>
        </is>
      </c>
      <c r="N1043" t="inlineStr">
        <is>
          <t>St. Louis, Mo. : Mosby, c2003.</t>
        </is>
      </c>
      <c r="O1043" t="inlineStr">
        <is>
          <t>2003</t>
        </is>
      </c>
      <c r="P1043" t="inlineStr">
        <is>
          <t>2nd ed.</t>
        </is>
      </c>
      <c r="Q1043" t="inlineStr">
        <is>
          <t>eng</t>
        </is>
      </c>
      <c r="R1043" t="inlineStr">
        <is>
          <t>mou</t>
        </is>
      </c>
      <c r="T1043" t="inlineStr">
        <is>
          <t xml:space="preserve">W  </t>
        </is>
      </c>
      <c r="U1043" t="n">
        <v>1</v>
      </c>
      <c r="V1043" t="n">
        <v>4</v>
      </c>
      <c r="X1043" t="inlineStr">
        <is>
          <t>2005-03-14</t>
        </is>
      </c>
      <c r="Y1043" t="inlineStr">
        <is>
          <t>2005-02-04</t>
        </is>
      </c>
      <c r="Z1043" t="inlineStr">
        <is>
          <t>2005-02-18</t>
        </is>
      </c>
      <c r="AA1043" t="n">
        <v>250</v>
      </c>
      <c r="AB1043" t="n">
        <v>202</v>
      </c>
      <c r="AC1043" t="n">
        <v>341</v>
      </c>
      <c r="AD1043" t="n">
        <v>1</v>
      </c>
      <c r="AE1043" t="n">
        <v>1</v>
      </c>
      <c r="AF1043" t="n">
        <v>9</v>
      </c>
      <c r="AG1043" t="n">
        <v>12</v>
      </c>
      <c r="AH1043" t="n">
        <v>3</v>
      </c>
      <c r="AI1043" t="n">
        <v>5</v>
      </c>
      <c r="AJ1043" t="n">
        <v>2</v>
      </c>
      <c r="AK1043" t="n">
        <v>2</v>
      </c>
      <c r="AL1043" t="n">
        <v>4</v>
      </c>
      <c r="AM1043" t="n">
        <v>5</v>
      </c>
      <c r="AN1043" t="n">
        <v>0</v>
      </c>
      <c r="AO1043" t="n">
        <v>0</v>
      </c>
      <c r="AP1043" t="n">
        <v>1</v>
      </c>
      <c r="AQ1043" t="n">
        <v>2</v>
      </c>
      <c r="AR1043" t="inlineStr">
        <is>
          <t>No</t>
        </is>
      </c>
      <c r="AS1043" t="inlineStr">
        <is>
          <t>Yes</t>
        </is>
      </c>
      <c r="AT1043">
        <f>HYPERLINK("http://catalog.hathitrust.org/Record/004305698","HathiTrust Record")</f>
        <v/>
      </c>
      <c r="AU1043">
        <f>HYPERLINK("https://creighton-primo.hosted.exlibrisgroup.com/primo-explore/search?tab=default_tab&amp;search_scope=EVERYTHING&amp;vid=01CRU&amp;lang=en_US&amp;offset=0&amp;query=any,contains,991000426629702656","Catalog Record")</f>
        <v/>
      </c>
      <c r="AV1043">
        <f>HYPERLINK("http://www.worldcat.org/oclc/50803931","WorldCat Record")</f>
        <v/>
      </c>
      <c r="AW1043" t="inlineStr">
        <is>
          <t>364560763:eng</t>
        </is>
      </c>
      <c r="AX1043" t="inlineStr">
        <is>
          <t>50803931</t>
        </is>
      </c>
      <c r="AY1043" t="inlineStr">
        <is>
          <t>991000426629702656</t>
        </is>
      </c>
      <c r="AZ1043" t="inlineStr">
        <is>
          <t>991000426629702656</t>
        </is>
      </c>
      <c r="BA1043" t="inlineStr">
        <is>
          <t>2268979080002656</t>
        </is>
      </c>
      <c r="BB1043" t="inlineStr">
        <is>
          <t>BOOK</t>
        </is>
      </c>
      <c r="BD1043" t="inlineStr">
        <is>
          <t>9780323009591</t>
        </is>
      </c>
      <c r="BE1043" t="inlineStr">
        <is>
          <t>30001004927135</t>
        </is>
      </c>
      <c r="BF1043" t="inlineStr">
        <is>
          <t>893553491</t>
        </is>
      </c>
    </row>
    <row r="1044">
      <c r="A1044" t="inlineStr">
        <is>
          <t>No</t>
        </is>
      </c>
      <c r="B1044" t="inlineStr">
        <is>
          <t>CUHSL</t>
        </is>
      </c>
      <c r="C1044" t="inlineStr">
        <is>
          <t>SHELVES</t>
        </is>
      </c>
      <c r="D1044" t="inlineStr">
        <is>
          <t>W925 D611 2003</t>
        </is>
      </c>
      <c r="E1044" t="inlineStr">
        <is>
          <t>0                      W  0925000D  611         2003</t>
        </is>
      </c>
      <c r="F1044" t="inlineStr">
        <is>
          <t>Disability evaluation / [edited by] Stephen L. Demeter, Gunnar B.J. Andersson.</t>
        </is>
      </c>
      <c r="H1044" t="inlineStr">
        <is>
          <t>No</t>
        </is>
      </c>
      <c r="I1044" t="inlineStr">
        <is>
          <t>2</t>
        </is>
      </c>
      <c r="J1044" t="inlineStr">
        <is>
          <t>Yes</t>
        </is>
      </c>
      <c r="K1044" t="inlineStr">
        <is>
          <t>No</t>
        </is>
      </c>
      <c r="L1044" t="inlineStr">
        <is>
          <t>0</t>
        </is>
      </c>
      <c r="N1044" t="inlineStr">
        <is>
          <t>St. Louis, Mo. : Mosby, c2003.</t>
        </is>
      </c>
      <c r="O1044" t="inlineStr">
        <is>
          <t>2003</t>
        </is>
      </c>
      <c r="P1044" t="inlineStr">
        <is>
          <t>2nd ed.</t>
        </is>
      </c>
      <c r="Q1044" t="inlineStr">
        <is>
          <t>eng</t>
        </is>
      </c>
      <c r="R1044" t="inlineStr">
        <is>
          <t>mou</t>
        </is>
      </c>
      <c r="T1044" t="inlineStr">
        <is>
          <t xml:space="preserve">W  </t>
        </is>
      </c>
      <c r="U1044" t="n">
        <v>3</v>
      </c>
      <c r="V1044" t="n">
        <v>4</v>
      </c>
      <c r="W1044" t="inlineStr">
        <is>
          <t>2005-03-14</t>
        </is>
      </c>
      <c r="X1044" t="inlineStr">
        <is>
          <t>2005-03-14</t>
        </is>
      </c>
      <c r="Y1044" t="inlineStr">
        <is>
          <t>2005-02-18</t>
        </is>
      </c>
      <c r="Z1044" t="inlineStr">
        <is>
          <t>2005-02-18</t>
        </is>
      </c>
      <c r="AA1044" t="n">
        <v>250</v>
      </c>
      <c r="AB1044" t="n">
        <v>202</v>
      </c>
      <c r="AC1044" t="n">
        <v>341</v>
      </c>
      <c r="AD1044" t="n">
        <v>1</v>
      </c>
      <c r="AE1044" t="n">
        <v>1</v>
      </c>
      <c r="AF1044" t="n">
        <v>9</v>
      </c>
      <c r="AG1044" t="n">
        <v>12</v>
      </c>
      <c r="AH1044" t="n">
        <v>3</v>
      </c>
      <c r="AI1044" t="n">
        <v>5</v>
      </c>
      <c r="AJ1044" t="n">
        <v>2</v>
      </c>
      <c r="AK1044" t="n">
        <v>2</v>
      </c>
      <c r="AL1044" t="n">
        <v>4</v>
      </c>
      <c r="AM1044" t="n">
        <v>5</v>
      </c>
      <c r="AN1044" t="n">
        <v>0</v>
      </c>
      <c r="AO1044" t="n">
        <v>0</v>
      </c>
      <c r="AP1044" t="n">
        <v>1</v>
      </c>
      <c r="AQ1044" t="n">
        <v>2</v>
      </c>
      <c r="AR1044" t="inlineStr">
        <is>
          <t>No</t>
        </is>
      </c>
      <c r="AS1044" t="inlineStr">
        <is>
          <t>Yes</t>
        </is>
      </c>
      <c r="AT1044">
        <f>HYPERLINK("http://catalog.hathitrust.org/Record/004305698","HathiTrust Record")</f>
        <v/>
      </c>
      <c r="AU1044">
        <f>HYPERLINK("https://creighton-primo.hosted.exlibrisgroup.com/primo-explore/search?tab=default_tab&amp;search_scope=EVERYTHING&amp;vid=01CRU&amp;lang=en_US&amp;offset=0&amp;query=any,contains,991000426629702656","Catalog Record")</f>
        <v/>
      </c>
      <c r="AV1044">
        <f>HYPERLINK("http://www.worldcat.org/oclc/50803931","WorldCat Record")</f>
        <v/>
      </c>
      <c r="AW1044" t="inlineStr">
        <is>
          <t>364560763:eng</t>
        </is>
      </c>
      <c r="AX1044" t="inlineStr">
        <is>
          <t>50803931</t>
        </is>
      </c>
      <c r="AY1044" t="inlineStr">
        <is>
          <t>991000426629702656</t>
        </is>
      </c>
      <c r="AZ1044" t="inlineStr">
        <is>
          <t>991000426629702656</t>
        </is>
      </c>
      <c r="BA1044" t="inlineStr">
        <is>
          <t>2268979080002656</t>
        </is>
      </c>
      <c r="BB1044" t="inlineStr">
        <is>
          <t>BOOK</t>
        </is>
      </c>
      <c r="BD1044" t="inlineStr">
        <is>
          <t>9780323009591</t>
        </is>
      </c>
      <c r="BE1044" t="inlineStr">
        <is>
          <t>30001004927838</t>
        </is>
      </c>
      <c r="BF1044" t="inlineStr">
        <is>
          <t>893537164</t>
        </is>
      </c>
    </row>
    <row r="1045">
      <c r="A1045" t="inlineStr">
        <is>
          <t>No</t>
        </is>
      </c>
      <c r="B1045" t="inlineStr">
        <is>
          <t>CUHSL</t>
        </is>
      </c>
      <c r="C1045" t="inlineStr">
        <is>
          <t>SHELVES</t>
        </is>
      </c>
      <c r="D1045" t="inlineStr">
        <is>
          <t>W925 E56d 2006</t>
        </is>
      </c>
      <c r="E1045" t="inlineStr">
        <is>
          <t>0                      W  0925000E  56d         2006</t>
        </is>
      </c>
      <c r="F1045" t="inlineStr">
        <is>
          <t>Encyclopedia of disability / general editor, Gary L. Albrecht.</t>
        </is>
      </c>
      <c r="G1045" t="inlineStr">
        <is>
          <t>V.3</t>
        </is>
      </c>
      <c r="H1045" t="inlineStr">
        <is>
          <t>Yes</t>
        </is>
      </c>
      <c r="I1045" t="inlineStr">
        <is>
          <t>1</t>
        </is>
      </c>
      <c r="J1045" t="inlineStr">
        <is>
          <t>No</t>
        </is>
      </c>
      <c r="K1045" t="inlineStr">
        <is>
          <t>No</t>
        </is>
      </c>
      <c r="L1045" t="inlineStr">
        <is>
          <t>1</t>
        </is>
      </c>
      <c r="N1045" t="inlineStr">
        <is>
          <t>Thousand Oaks, Calif. : Sage Publications, c2006.</t>
        </is>
      </c>
      <c r="O1045" t="inlineStr">
        <is>
          <t>2006</t>
        </is>
      </c>
      <c r="Q1045" t="inlineStr">
        <is>
          <t>eng</t>
        </is>
      </c>
      <c r="R1045" t="inlineStr">
        <is>
          <t>cau</t>
        </is>
      </c>
      <c r="T1045" t="inlineStr">
        <is>
          <t xml:space="preserve">W  </t>
        </is>
      </c>
      <c r="U1045" t="n">
        <v>1</v>
      </c>
      <c r="V1045" t="n">
        <v>2</v>
      </c>
      <c r="W1045" t="inlineStr">
        <is>
          <t>2017-10-27</t>
        </is>
      </c>
      <c r="X1045" t="inlineStr">
        <is>
          <t>2006-09-03</t>
        </is>
      </c>
      <c r="Y1045" t="inlineStr">
        <is>
          <t>2006-04-27</t>
        </is>
      </c>
      <c r="Z1045" t="inlineStr">
        <is>
          <t>2006-04-27</t>
        </is>
      </c>
      <c r="AA1045" t="n">
        <v>717</v>
      </c>
      <c r="AB1045" t="n">
        <v>603</v>
      </c>
      <c r="AC1045" t="n">
        <v>807</v>
      </c>
      <c r="AD1045" t="n">
        <v>3</v>
      </c>
      <c r="AE1045" t="n">
        <v>6</v>
      </c>
      <c r="AF1045" t="n">
        <v>20</v>
      </c>
      <c r="AG1045" t="n">
        <v>32</v>
      </c>
      <c r="AH1045" t="n">
        <v>10</v>
      </c>
      <c r="AI1045" t="n">
        <v>15</v>
      </c>
      <c r="AJ1045" t="n">
        <v>4</v>
      </c>
      <c r="AK1045" t="n">
        <v>7</v>
      </c>
      <c r="AL1045" t="n">
        <v>7</v>
      </c>
      <c r="AM1045" t="n">
        <v>11</v>
      </c>
      <c r="AN1045" t="n">
        <v>2</v>
      </c>
      <c r="AO1045" t="n">
        <v>4</v>
      </c>
      <c r="AP1045" t="n">
        <v>0</v>
      </c>
      <c r="AQ1045" t="n">
        <v>0</v>
      </c>
      <c r="AR1045" t="inlineStr">
        <is>
          <t>No</t>
        </is>
      </c>
      <c r="AS1045" t="inlineStr">
        <is>
          <t>Yes</t>
        </is>
      </c>
      <c r="AT1045">
        <f>HYPERLINK("http://catalog.hathitrust.org/Record/004967431","HathiTrust Record")</f>
        <v/>
      </c>
      <c r="AU1045">
        <f>HYPERLINK("https://creighton-primo.hosted.exlibrisgroup.com/primo-explore/search?tab=default_tab&amp;search_scope=EVERYTHING&amp;vid=01CRU&amp;lang=en_US&amp;offset=0&amp;query=any,contains,991000478049702656","Catalog Record")</f>
        <v/>
      </c>
      <c r="AV1045">
        <f>HYPERLINK("http://www.worldcat.org/oclc/60791594","WorldCat Record")</f>
        <v/>
      </c>
      <c r="AW1045" t="inlineStr">
        <is>
          <t>1059875317:eng</t>
        </is>
      </c>
      <c r="AX1045" t="inlineStr">
        <is>
          <t>60791594</t>
        </is>
      </c>
      <c r="AY1045" t="inlineStr">
        <is>
          <t>991000478049702656</t>
        </is>
      </c>
      <c r="AZ1045" t="inlineStr">
        <is>
          <t>991000478049702656</t>
        </is>
      </c>
      <c r="BA1045" t="inlineStr">
        <is>
          <t>2260963710002656</t>
        </is>
      </c>
      <c r="BB1045" t="inlineStr">
        <is>
          <t>BOOK</t>
        </is>
      </c>
      <c r="BD1045" t="inlineStr">
        <is>
          <t>9780761925651</t>
        </is>
      </c>
      <c r="BE1045" t="inlineStr">
        <is>
          <t>30001004914828</t>
        </is>
      </c>
      <c r="BF1045" t="inlineStr">
        <is>
          <t>893644459</t>
        </is>
      </c>
    </row>
    <row r="1046">
      <c r="A1046" t="inlineStr">
        <is>
          <t>No</t>
        </is>
      </c>
      <c r="B1046" t="inlineStr">
        <is>
          <t>CUHSL</t>
        </is>
      </c>
      <c r="C1046" t="inlineStr">
        <is>
          <t>SHELVES</t>
        </is>
      </c>
      <c r="D1046" t="inlineStr">
        <is>
          <t>W925 E56d 2006</t>
        </is>
      </c>
      <c r="E1046" t="inlineStr">
        <is>
          <t>0                      W  0925000E  56d         2006</t>
        </is>
      </c>
      <c r="F1046" t="inlineStr">
        <is>
          <t>Encyclopedia of disability / general editor, Gary L. Albrecht.</t>
        </is>
      </c>
      <c r="G1046" t="inlineStr">
        <is>
          <t>V.5</t>
        </is>
      </c>
      <c r="H1046" t="inlineStr">
        <is>
          <t>Yes</t>
        </is>
      </c>
      <c r="I1046" t="inlineStr">
        <is>
          <t>1</t>
        </is>
      </c>
      <c r="J1046" t="inlineStr">
        <is>
          <t>No</t>
        </is>
      </c>
      <c r="K1046" t="inlineStr">
        <is>
          <t>No</t>
        </is>
      </c>
      <c r="L1046" t="inlineStr">
        <is>
          <t>1</t>
        </is>
      </c>
      <c r="N1046" t="inlineStr">
        <is>
          <t>Thousand Oaks, Calif. : Sage Publications, c2006.</t>
        </is>
      </c>
      <c r="O1046" t="inlineStr">
        <is>
          <t>2006</t>
        </is>
      </c>
      <c r="Q1046" t="inlineStr">
        <is>
          <t>eng</t>
        </is>
      </c>
      <c r="R1046" t="inlineStr">
        <is>
          <t>cau</t>
        </is>
      </c>
      <c r="T1046" t="inlineStr">
        <is>
          <t xml:space="preserve">W  </t>
        </is>
      </c>
      <c r="U1046" t="n">
        <v>0</v>
      </c>
      <c r="V1046" t="n">
        <v>2</v>
      </c>
      <c r="X1046" t="inlineStr">
        <is>
          <t>2006-09-03</t>
        </is>
      </c>
      <c r="Y1046" t="inlineStr">
        <is>
          <t>2006-04-27</t>
        </is>
      </c>
      <c r="Z1046" t="inlineStr">
        <is>
          <t>2006-04-27</t>
        </is>
      </c>
      <c r="AA1046" t="n">
        <v>717</v>
      </c>
      <c r="AB1046" t="n">
        <v>603</v>
      </c>
      <c r="AC1046" t="n">
        <v>807</v>
      </c>
      <c r="AD1046" t="n">
        <v>3</v>
      </c>
      <c r="AE1046" t="n">
        <v>6</v>
      </c>
      <c r="AF1046" t="n">
        <v>20</v>
      </c>
      <c r="AG1046" t="n">
        <v>32</v>
      </c>
      <c r="AH1046" t="n">
        <v>10</v>
      </c>
      <c r="AI1046" t="n">
        <v>15</v>
      </c>
      <c r="AJ1046" t="n">
        <v>4</v>
      </c>
      <c r="AK1046" t="n">
        <v>7</v>
      </c>
      <c r="AL1046" t="n">
        <v>7</v>
      </c>
      <c r="AM1046" t="n">
        <v>11</v>
      </c>
      <c r="AN1046" t="n">
        <v>2</v>
      </c>
      <c r="AO1046" t="n">
        <v>4</v>
      </c>
      <c r="AP1046" t="n">
        <v>0</v>
      </c>
      <c r="AQ1046" t="n">
        <v>0</v>
      </c>
      <c r="AR1046" t="inlineStr">
        <is>
          <t>No</t>
        </is>
      </c>
      <c r="AS1046" t="inlineStr">
        <is>
          <t>Yes</t>
        </is>
      </c>
      <c r="AT1046">
        <f>HYPERLINK("http://catalog.hathitrust.org/Record/004967431","HathiTrust Record")</f>
        <v/>
      </c>
      <c r="AU1046">
        <f>HYPERLINK("https://creighton-primo.hosted.exlibrisgroup.com/primo-explore/search?tab=default_tab&amp;search_scope=EVERYTHING&amp;vid=01CRU&amp;lang=en_US&amp;offset=0&amp;query=any,contains,991000478049702656","Catalog Record")</f>
        <v/>
      </c>
      <c r="AV1046">
        <f>HYPERLINK("http://www.worldcat.org/oclc/60791594","WorldCat Record")</f>
        <v/>
      </c>
      <c r="AW1046" t="inlineStr">
        <is>
          <t>1059875317:eng</t>
        </is>
      </c>
      <c r="AX1046" t="inlineStr">
        <is>
          <t>60791594</t>
        </is>
      </c>
      <c r="AY1046" t="inlineStr">
        <is>
          <t>991000478049702656</t>
        </is>
      </c>
      <c r="AZ1046" t="inlineStr">
        <is>
          <t>991000478049702656</t>
        </is>
      </c>
      <c r="BA1046" t="inlineStr">
        <is>
          <t>2260963710002656</t>
        </is>
      </c>
      <c r="BB1046" t="inlineStr">
        <is>
          <t>BOOK</t>
        </is>
      </c>
      <c r="BD1046" t="inlineStr">
        <is>
          <t>9780761925651</t>
        </is>
      </c>
      <c r="BE1046" t="inlineStr">
        <is>
          <t>30001004914802</t>
        </is>
      </c>
      <c r="BF1046" t="inlineStr">
        <is>
          <t>893644458</t>
        </is>
      </c>
    </row>
    <row r="1047">
      <c r="A1047" t="inlineStr">
        <is>
          <t>No</t>
        </is>
      </c>
      <c r="B1047" t="inlineStr">
        <is>
          <t>CUHSL</t>
        </is>
      </c>
      <c r="C1047" t="inlineStr">
        <is>
          <t>SHELVES</t>
        </is>
      </c>
      <c r="D1047" t="inlineStr">
        <is>
          <t>W925 E56d 2006</t>
        </is>
      </c>
      <c r="E1047" t="inlineStr">
        <is>
          <t>0                      W  0925000E  56d         2006</t>
        </is>
      </c>
      <c r="F1047" t="inlineStr">
        <is>
          <t>Encyclopedia of disability / general editor, Gary L. Albrecht.</t>
        </is>
      </c>
      <c r="G1047" t="inlineStr">
        <is>
          <t>V.1</t>
        </is>
      </c>
      <c r="H1047" t="inlineStr">
        <is>
          <t>Yes</t>
        </is>
      </c>
      <c r="I1047" t="inlineStr">
        <is>
          <t>1</t>
        </is>
      </c>
      <c r="J1047" t="inlineStr">
        <is>
          <t>No</t>
        </is>
      </c>
      <c r="K1047" t="inlineStr">
        <is>
          <t>No</t>
        </is>
      </c>
      <c r="L1047" t="inlineStr">
        <is>
          <t>1</t>
        </is>
      </c>
      <c r="N1047" t="inlineStr">
        <is>
          <t>Thousand Oaks, Calif. : Sage Publications, c2006.</t>
        </is>
      </c>
      <c r="O1047" t="inlineStr">
        <is>
          <t>2006</t>
        </is>
      </c>
      <c r="Q1047" t="inlineStr">
        <is>
          <t>eng</t>
        </is>
      </c>
      <c r="R1047" t="inlineStr">
        <is>
          <t>cau</t>
        </is>
      </c>
      <c r="T1047" t="inlineStr">
        <is>
          <t xml:space="preserve">W  </t>
        </is>
      </c>
      <c r="U1047" t="n">
        <v>0</v>
      </c>
      <c r="V1047" t="n">
        <v>2</v>
      </c>
      <c r="W1047" t="inlineStr">
        <is>
          <t>2006-09-03</t>
        </is>
      </c>
      <c r="X1047" t="inlineStr">
        <is>
          <t>2006-09-03</t>
        </is>
      </c>
      <c r="Y1047" t="inlineStr">
        <is>
          <t>2006-04-27</t>
        </is>
      </c>
      <c r="Z1047" t="inlineStr">
        <is>
          <t>2006-04-27</t>
        </is>
      </c>
      <c r="AA1047" t="n">
        <v>717</v>
      </c>
      <c r="AB1047" t="n">
        <v>603</v>
      </c>
      <c r="AC1047" t="n">
        <v>807</v>
      </c>
      <c r="AD1047" t="n">
        <v>3</v>
      </c>
      <c r="AE1047" t="n">
        <v>6</v>
      </c>
      <c r="AF1047" t="n">
        <v>20</v>
      </c>
      <c r="AG1047" t="n">
        <v>32</v>
      </c>
      <c r="AH1047" t="n">
        <v>10</v>
      </c>
      <c r="AI1047" t="n">
        <v>15</v>
      </c>
      <c r="AJ1047" t="n">
        <v>4</v>
      </c>
      <c r="AK1047" t="n">
        <v>7</v>
      </c>
      <c r="AL1047" t="n">
        <v>7</v>
      </c>
      <c r="AM1047" t="n">
        <v>11</v>
      </c>
      <c r="AN1047" t="n">
        <v>2</v>
      </c>
      <c r="AO1047" t="n">
        <v>4</v>
      </c>
      <c r="AP1047" t="n">
        <v>0</v>
      </c>
      <c r="AQ1047" t="n">
        <v>0</v>
      </c>
      <c r="AR1047" t="inlineStr">
        <is>
          <t>No</t>
        </is>
      </c>
      <c r="AS1047" t="inlineStr">
        <is>
          <t>Yes</t>
        </is>
      </c>
      <c r="AT1047">
        <f>HYPERLINK("http://catalog.hathitrust.org/Record/004967431","HathiTrust Record")</f>
        <v/>
      </c>
      <c r="AU1047">
        <f>HYPERLINK("https://creighton-primo.hosted.exlibrisgroup.com/primo-explore/search?tab=default_tab&amp;search_scope=EVERYTHING&amp;vid=01CRU&amp;lang=en_US&amp;offset=0&amp;query=any,contains,991000478049702656","Catalog Record")</f>
        <v/>
      </c>
      <c r="AV1047">
        <f>HYPERLINK("http://www.worldcat.org/oclc/60791594","WorldCat Record")</f>
        <v/>
      </c>
      <c r="AW1047" t="inlineStr">
        <is>
          <t>1059875317:eng</t>
        </is>
      </c>
      <c r="AX1047" t="inlineStr">
        <is>
          <t>60791594</t>
        </is>
      </c>
      <c r="AY1047" t="inlineStr">
        <is>
          <t>991000478049702656</t>
        </is>
      </c>
      <c r="AZ1047" t="inlineStr">
        <is>
          <t>991000478049702656</t>
        </is>
      </c>
      <c r="BA1047" t="inlineStr">
        <is>
          <t>2260963710002656</t>
        </is>
      </c>
      <c r="BB1047" t="inlineStr">
        <is>
          <t>BOOK</t>
        </is>
      </c>
      <c r="BD1047" t="inlineStr">
        <is>
          <t>9780761925651</t>
        </is>
      </c>
      <c r="BE1047" t="inlineStr">
        <is>
          <t>30001004914836</t>
        </is>
      </c>
      <c r="BF1047" t="inlineStr">
        <is>
          <t>893629292</t>
        </is>
      </c>
    </row>
    <row r="1048">
      <c r="A1048" t="inlineStr">
        <is>
          <t>No</t>
        </is>
      </c>
      <c r="B1048" t="inlineStr">
        <is>
          <t>CUHSL</t>
        </is>
      </c>
      <c r="C1048" t="inlineStr">
        <is>
          <t>SHELVES</t>
        </is>
      </c>
      <c r="D1048" t="inlineStr">
        <is>
          <t>W925 E56d 2006</t>
        </is>
      </c>
      <c r="E1048" t="inlineStr">
        <is>
          <t>0                      W  0925000E  56d         2006</t>
        </is>
      </c>
      <c r="F1048" t="inlineStr">
        <is>
          <t>Encyclopedia of disability / general editor, Gary L. Albrecht.</t>
        </is>
      </c>
      <c r="G1048" t="inlineStr">
        <is>
          <t>V.2</t>
        </is>
      </c>
      <c r="H1048" t="inlineStr">
        <is>
          <t>Yes</t>
        </is>
      </c>
      <c r="I1048" t="inlineStr">
        <is>
          <t>1</t>
        </is>
      </c>
      <c r="J1048" t="inlineStr">
        <is>
          <t>No</t>
        </is>
      </c>
      <c r="K1048" t="inlineStr">
        <is>
          <t>No</t>
        </is>
      </c>
      <c r="L1048" t="inlineStr">
        <is>
          <t>1</t>
        </is>
      </c>
      <c r="N1048" t="inlineStr">
        <is>
          <t>Thousand Oaks, Calif. : Sage Publications, c2006.</t>
        </is>
      </c>
      <c r="O1048" t="inlineStr">
        <is>
          <t>2006</t>
        </is>
      </c>
      <c r="Q1048" t="inlineStr">
        <is>
          <t>eng</t>
        </is>
      </c>
      <c r="R1048" t="inlineStr">
        <is>
          <t>cau</t>
        </is>
      </c>
      <c r="T1048" t="inlineStr">
        <is>
          <t xml:space="preserve">W  </t>
        </is>
      </c>
      <c r="U1048" t="n">
        <v>0</v>
      </c>
      <c r="V1048" t="n">
        <v>2</v>
      </c>
      <c r="X1048" t="inlineStr">
        <is>
          <t>2006-09-03</t>
        </is>
      </c>
      <c r="Y1048" t="inlineStr">
        <is>
          <t>2006-04-27</t>
        </is>
      </c>
      <c r="Z1048" t="inlineStr">
        <is>
          <t>2006-04-27</t>
        </is>
      </c>
      <c r="AA1048" t="n">
        <v>717</v>
      </c>
      <c r="AB1048" t="n">
        <v>603</v>
      </c>
      <c r="AC1048" t="n">
        <v>807</v>
      </c>
      <c r="AD1048" t="n">
        <v>3</v>
      </c>
      <c r="AE1048" t="n">
        <v>6</v>
      </c>
      <c r="AF1048" t="n">
        <v>20</v>
      </c>
      <c r="AG1048" t="n">
        <v>32</v>
      </c>
      <c r="AH1048" t="n">
        <v>10</v>
      </c>
      <c r="AI1048" t="n">
        <v>15</v>
      </c>
      <c r="AJ1048" t="n">
        <v>4</v>
      </c>
      <c r="AK1048" t="n">
        <v>7</v>
      </c>
      <c r="AL1048" t="n">
        <v>7</v>
      </c>
      <c r="AM1048" t="n">
        <v>11</v>
      </c>
      <c r="AN1048" t="n">
        <v>2</v>
      </c>
      <c r="AO1048" t="n">
        <v>4</v>
      </c>
      <c r="AP1048" t="n">
        <v>0</v>
      </c>
      <c r="AQ1048" t="n">
        <v>0</v>
      </c>
      <c r="AR1048" t="inlineStr">
        <is>
          <t>No</t>
        </is>
      </c>
      <c r="AS1048" t="inlineStr">
        <is>
          <t>Yes</t>
        </is>
      </c>
      <c r="AT1048">
        <f>HYPERLINK("http://catalog.hathitrust.org/Record/004967431","HathiTrust Record")</f>
        <v/>
      </c>
      <c r="AU1048">
        <f>HYPERLINK("https://creighton-primo.hosted.exlibrisgroup.com/primo-explore/search?tab=default_tab&amp;search_scope=EVERYTHING&amp;vid=01CRU&amp;lang=en_US&amp;offset=0&amp;query=any,contains,991000478049702656","Catalog Record")</f>
        <v/>
      </c>
      <c r="AV1048">
        <f>HYPERLINK("http://www.worldcat.org/oclc/60791594","WorldCat Record")</f>
        <v/>
      </c>
      <c r="AW1048" t="inlineStr">
        <is>
          <t>1059875317:eng</t>
        </is>
      </c>
      <c r="AX1048" t="inlineStr">
        <is>
          <t>60791594</t>
        </is>
      </c>
      <c r="AY1048" t="inlineStr">
        <is>
          <t>991000478049702656</t>
        </is>
      </c>
      <c r="AZ1048" t="inlineStr">
        <is>
          <t>991000478049702656</t>
        </is>
      </c>
      <c r="BA1048" t="inlineStr">
        <is>
          <t>2260963710002656</t>
        </is>
      </c>
      <c r="BB1048" t="inlineStr">
        <is>
          <t>BOOK</t>
        </is>
      </c>
      <c r="BD1048" t="inlineStr">
        <is>
          <t>9780761925651</t>
        </is>
      </c>
      <c r="BE1048" t="inlineStr">
        <is>
          <t>30001004914844</t>
        </is>
      </c>
      <c r="BF1048" t="inlineStr">
        <is>
          <t>893629291</t>
        </is>
      </c>
    </row>
    <row r="1049">
      <c r="A1049" t="inlineStr">
        <is>
          <t>No</t>
        </is>
      </c>
      <c r="B1049" t="inlineStr">
        <is>
          <t>CUHSL</t>
        </is>
      </c>
      <c r="C1049" t="inlineStr">
        <is>
          <t>SHELVES</t>
        </is>
      </c>
      <c r="D1049" t="inlineStr">
        <is>
          <t>W925 E56d 2006</t>
        </is>
      </c>
      <c r="E1049" t="inlineStr">
        <is>
          <t>0                      W  0925000E  56d         2006</t>
        </is>
      </c>
      <c r="F1049" t="inlineStr">
        <is>
          <t>Encyclopedia of disability / general editor, Gary L. Albrecht.</t>
        </is>
      </c>
      <c r="G1049" t="inlineStr">
        <is>
          <t>V.4</t>
        </is>
      </c>
      <c r="H1049" t="inlineStr">
        <is>
          <t>Yes</t>
        </is>
      </c>
      <c r="I1049" t="inlineStr">
        <is>
          <t>1</t>
        </is>
      </c>
      <c r="J1049" t="inlineStr">
        <is>
          <t>No</t>
        </is>
      </c>
      <c r="K1049" t="inlineStr">
        <is>
          <t>No</t>
        </is>
      </c>
      <c r="L1049" t="inlineStr">
        <is>
          <t>1</t>
        </is>
      </c>
      <c r="N1049" t="inlineStr">
        <is>
          <t>Thousand Oaks, Calif. : Sage Publications, c2006.</t>
        </is>
      </c>
      <c r="O1049" t="inlineStr">
        <is>
          <t>2006</t>
        </is>
      </c>
      <c r="Q1049" t="inlineStr">
        <is>
          <t>eng</t>
        </is>
      </c>
      <c r="R1049" t="inlineStr">
        <is>
          <t>cau</t>
        </is>
      </c>
      <c r="T1049" t="inlineStr">
        <is>
          <t xml:space="preserve">W  </t>
        </is>
      </c>
      <c r="U1049" t="n">
        <v>1</v>
      </c>
      <c r="V1049" t="n">
        <v>2</v>
      </c>
      <c r="X1049" t="inlineStr">
        <is>
          <t>2006-09-03</t>
        </is>
      </c>
      <c r="Y1049" t="inlineStr">
        <is>
          <t>2006-04-27</t>
        </is>
      </c>
      <c r="Z1049" t="inlineStr">
        <is>
          <t>2006-04-27</t>
        </is>
      </c>
      <c r="AA1049" t="n">
        <v>717</v>
      </c>
      <c r="AB1049" t="n">
        <v>603</v>
      </c>
      <c r="AC1049" t="n">
        <v>807</v>
      </c>
      <c r="AD1049" t="n">
        <v>3</v>
      </c>
      <c r="AE1049" t="n">
        <v>6</v>
      </c>
      <c r="AF1049" t="n">
        <v>20</v>
      </c>
      <c r="AG1049" t="n">
        <v>32</v>
      </c>
      <c r="AH1049" t="n">
        <v>10</v>
      </c>
      <c r="AI1049" t="n">
        <v>15</v>
      </c>
      <c r="AJ1049" t="n">
        <v>4</v>
      </c>
      <c r="AK1049" t="n">
        <v>7</v>
      </c>
      <c r="AL1049" t="n">
        <v>7</v>
      </c>
      <c r="AM1049" t="n">
        <v>11</v>
      </c>
      <c r="AN1049" t="n">
        <v>2</v>
      </c>
      <c r="AO1049" t="n">
        <v>4</v>
      </c>
      <c r="AP1049" t="n">
        <v>0</v>
      </c>
      <c r="AQ1049" t="n">
        <v>0</v>
      </c>
      <c r="AR1049" t="inlineStr">
        <is>
          <t>No</t>
        </is>
      </c>
      <c r="AS1049" t="inlineStr">
        <is>
          <t>Yes</t>
        </is>
      </c>
      <c r="AT1049">
        <f>HYPERLINK("http://catalog.hathitrust.org/Record/004967431","HathiTrust Record")</f>
        <v/>
      </c>
      <c r="AU1049">
        <f>HYPERLINK("https://creighton-primo.hosted.exlibrisgroup.com/primo-explore/search?tab=default_tab&amp;search_scope=EVERYTHING&amp;vid=01CRU&amp;lang=en_US&amp;offset=0&amp;query=any,contains,991000478049702656","Catalog Record")</f>
        <v/>
      </c>
      <c r="AV1049">
        <f>HYPERLINK("http://www.worldcat.org/oclc/60791594","WorldCat Record")</f>
        <v/>
      </c>
      <c r="AW1049" t="inlineStr">
        <is>
          <t>1059875317:eng</t>
        </is>
      </c>
      <c r="AX1049" t="inlineStr">
        <is>
          <t>60791594</t>
        </is>
      </c>
      <c r="AY1049" t="inlineStr">
        <is>
          <t>991000478049702656</t>
        </is>
      </c>
      <c r="AZ1049" t="inlineStr">
        <is>
          <t>991000478049702656</t>
        </is>
      </c>
      <c r="BA1049" t="inlineStr">
        <is>
          <t>2260963710002656</t>
        </is>
      </c>
      <c r="BB1049" t="inlineStr">
        <is>
          <t>BOOK</t>
        </is>
      </c>
      <c r="BD1049" t="inlineStr">
        <is>
          <t>9780761925651</t>
        </is>
      </c>
      <c r="BE1049" t="inlineStr">
        <is>
          <t>30001004914810</t>
        </is>
      </c>
      <c r="BF1049" t="inlineStr">
        <is>
          <t>893644457</t>
        </is>
      </c>
    </row>
    <row r="1050">
      <c r="A1050" t="inlineStr">
        <is>
          <t>No</t>
        </is>
      </c>
      <c r="B1050" t="inlineStr">
        <is>
          <t>CUHSL</t>
        </is>
      </c>
      <c r="C1050" t="inlineStr">
        <is>
          <t>SHELVES</t>
        </is>
      </c>
      <c r="D1050" t="inlineStr">
        <is>
          <t>W925 I61d 2003</t>
        </is>
      </c>
      <c r="E1050" t="inlineStr">
        <is>
          <t>0                      W  0925000I  61d         2003</t>
        </is>
      </c>
      <c r="F1050" t="inlineStr">
        <is>
          <t>International perspectives on disability services : the same but different / Francis K.O. Yuen, editor.</t>
        </is>
      </c>
      <c r="H1050" t="inlineStr">
        <is>
          <t>No</t>
        </is>
      </c>
      <c r="I1050" t="inlineStr">
        <is>
          <t>1</t>
        </is>
      </c>
      <c r="J1050" t="inlineStr">
        <is>
          <t>No</t>
        </is>
      </c>
      <c r="K1050" t="inlineStr">
        <is>
          <t>No</t>
        </is>
      </c>
      <c r="L1050" t="inlineStr">
        <is>
          <t>1</t>
        </is>
      </c>
      <c r="N1050" t="inlineStr">
        <is>
          <t>Binghamton, NY : Haworth Social Work Practice Press, c2003.</t>
        </is>
      </c>
      <c r="O1050" t="inlineStr">
        <is>
          <t>2003</t>
        </is>
      </c>
      <c r="Q1050" t="inlineStr">
        <is>
          <t>eng</t>
        </is>
      </c>
      <c r="R1050" t="inlineStr">
        <is>
          <t>nyu</t>
        </is>
      </c>
      <c r="T1050" t="inlineStr">
        <is>
          <t xml:space="preserve">W  </t>
        </is>
      </c>
      <c r="U1050" t="n">
        <v>0</v>
      </c>
      <c r="V1050" t="n">
        <v>0</v>
      </c>
      <c r="W1050" t="inlineStr">
        <is>
          <t>2006-09-03</t>
        </is>
      </c>
      <c r="X1050" t="inlineStr">
        <is>
          <t>2006-09-03</t>
        </is>
      </c>
      <c r="Y1050" t="inlineStr">
        <is>
          <t>2006-05-02</t>
        </is>
      </c>
      <c r="Z1050" t="inlineStr">
        <is>
          <t>2006-05-02</t>
        </is>
      </c>
      <c r="AA1050" t="n">
        <v>116</v>
      </c>
      <c r="AB1050" t="n">
        <v>82</v>
      </c>
      <c r="AC1050" t="n">
        <v>788</v>
      </c>
      <c r="AD1050" t="n">
        <v>1</v>
      </c>
      <c r="AE1050" t="n">
        <v>12</v>
      </c>
      <c r="AF1050" t="n">
        <v>3</v>
      </c>
      <c r="AG1050" t="n">
        <v>37</v>
      </c>
      <c r="AH1050" t="n">
        <v>1</v>
      </c>
      <c r="AI1050" t="n">
        <v>10</v>
      </c>
      <c r="AJ1050" t="n">
        <v>1</v>
      </c>
      <c r="AK1050" t="n">
        <v>9</v>
      </c>
      <c r="AL1050" t="n">
        <v>1</v>
      </c>
      <c r="AM1050" t="n">
        <v>11</v>
      </c>
      <c r="AN1050" t="n">
        <v>0</v>
      </c>
      <c r="AO1050" t="n">
        <v>10</v>
      </c>
      <c r="AP1050" t="n">
        <v>0</v>
      </c>
      <c r="AQ1050" t="n">
        <v>2</v>
      </c>
      <c r="AR1050" t="inlineStr">
        <is>
          <t>No</t>
        </is>
      </c>
      <c r="AS1050" t="inlineStr">
        <is>
          <t>No</t>
        </is>
      </c>
      <c r="AU1050">
        <f>HYPERLINK("https://creighton-primo.hosted.exlibrisgroup.com/primo-explore/search?tab=default_tab&amp;search_scope=EVERYTHING&amp;vid=01CRU&amp;lang=en_US&amp;offset=0&amp;query=any,contains,991000478379702656","Catalog Record")</f>
        <v/>
      </c>
      <c r="AV1050">
        <f>HYPERLINK("http://www.worldcat.org/oclc/53398008","WorldCat Record")</f>
        <v/>
      </c>
      <c r="AW1050" t="inlineStr">
        <is>
          <t>984211622:eng</t>
        </is>
      </c>
      <c r="AX1050" t="inlineStr">
        <is>
          <t>53398008</t>
        </is>
      </c>
      <c r="AY1050" t="inlineStr">
        <is>
          <t>991000478379702656</t>
        </is>
      </c>
      <c r="AZ1050" t="inlineStr">
        <is>
          <t>991000478379702656</t>
        </is>
      </c>
      <c r="BA1050" t="inlineStr">
        <is>
          <t>2271983580002656</t>
        </is>
      </c>
      <c r="BB1050" t="inlineStr">
        <is>
          <t>BOOK</t>
        </is>
      </c>
      <c r="BD1050" t="inlineStr">
        <is>
          <t>9780789020925</t>
        </is>
      </c>
      <c r="BE1050" t="inlineStr">
        <is>
          <t>30001005126604</t>
        </is>
      </c>
      <c r="BF1050" t="inlineStr">
        <is>
          <t>893466283</t>
        </is>
      </c>
    </row>
    <row r="1051">
      <c r="A1051" t="inlineStr">
        <is>
          <t>No</t>
        </is>
      </c>
      <c r="B1051" t="inlineStr">
        <is>
          <t>CUHSL</t>
        </is>
      </c>
      <c r="C1051" t="inlineStr">
        <is>
          <t>SHELVES</t>
        </is>
      </c>
      <c r="D1051" t="inlineStr">
        <is>
          <t>RESERVE W 50 B8643h 1992</t>
        </is>
      </c>
      <c r="E1051" t="inlineStr">
        <is>
          <t>0RESERVE               W  0050000B  8643h       1992</t>
        </is>
      </c>
      <c r="F1051" t="inlineStr">
        <is>
          <t>The healer's power / Howard Brody.</t>
        </is>
      </c>
      <c r="H1051" t="inlineStr">
        <is>
          <t>No</t>
        </is>
      </c>
      <c r="I1051" t="inlineStr">
        <is>
          <t>1</t>
        </is>
      </c>
      <c r="J1051" t="inlineStr">
        <is>
          <t>No</t>
        </is>
      </c>
      <c r="K1051" t="inlineStr">
        <is>
          <t>No</t>
        </is>
      </c>
      <c r="L1051" t="inlineStr">
        <is>
          <t>0</t>
        </is>
      </c>
      <c r="M1051" t="inlineStr">
        <is>
          <t>Brody, Howard.</t>
        </is>
      </c>
      <c r="N1051" t="inlineStr">
        <is>
          <t>New Haven : Yale University Press, c1992.</t>
        </is>
      </c>
      <c r="O1051" t="inlineStr">
        <is>
          <t>1992</t>
        </is>
      </c>
      <c r="Q1051" t="inlineStr">
        <is>
          <t>eng</t>
        </is>
      </c>
      <c r="R1051" t="inlineStr">
        <is>
          <t>ctu</t>
        </is>
      </c>
      <c r="T1051" t="inlineStr">
        <is>
          <t xml:space="preserve">W  </t>
        </is>
      </c>
      <c r="U1051" t="n">
        <v>33</v>
      </c>
      <c r="V1051" t="n">
        <v>33</v>
      </c>
      <c r="W1051" t="inlineStr">
        <is>
          <t>2001-09-04</t>
        </is>
      </c>
      <c r="X1051" t="inlineStr">
        <is>
          <t>2001-09-04</t>
        </is>
      </c>
      <c r="Y1051" t="inlineStr">
        <is>
          <t>1993-11-09</t>
        </is>
      </c>
      <c r="Z1051" t="inlineStr">
        <is>
          <t>1993-11-09</t>
        </is>
      </c>
      <c r="AA1051" t="n">
        <v>551</v>
      </c>
      <c r="AB1051" t="n">
        <v>472</v>
      </c>
      <c r="AC1051" t="n">
        <v>651</v>
      </c>
      <c r="AD1051" t="n">
        <v>2</v>
      </c>
      <c r="AE1051" t="n">
        <v>2</v>
      </c>
      <c r="AF1051" t="n">
        <v>25</v>
      </c>
      <c r="AG1051" t="n">
        <v>31</v>
      </c>
      <c r="AH1051" t="n">
        <v>10</v>
      </c>
      <c r="AI1051" t="n">
        <v>15</v>
      </c>
      <c r="AJ1051" t="n">
        <v>6</v>
      </c>
      <c r="AK1051" t="n">
        <v>7</v>
      </c>
      <c r="AL1051" t="n">
        <v>16</v>
      </c>
      <c r="AM1051" t="n">
        <v>18</v>
      </c>
      <c r="AN1051" t="n">
        <v>1</v>
      </c>
      <c r="AO1051" t="n">
        <v>1</v>
      </c>
      <c r="AP1051" t="n">
        <v>0</v>
      </c>
      <c r="AQ1051" t="n">
        <v>0</v>
      </c>
      <c r="AR1051" t="inlineStr">
        <is>
          <t>No</t>
        </is>
      </c>
      <c r="AS1051" t="inlineStr">
        <is>
          <t>No</t>
        </is>
      </c>
      <c r="AU1051">
        <f>HYPERLINK("https://creighton-primo.hosted.exlibrisgroup.com/primo-explore/search?tab=default_tab&amp;search_scope=EVERYTHING&amp;vid=01CRU&amp;lang=en_US&amp;offset=0&amp;query=any,contains,991000560769702656","Catalog Record")</f>
        <v/>
      </c>
      <c r="AV1051">
        <f>HYPERLINK("http://www.worldcat.org/oclc/24065969","WorldCat Record")</f>
        <v/>
      </c>
      <c r="AW1051" t="inlineStr">
        <is>
          <t>14411407:eng</t>
        </is>
      </c>
      <c r="AX1051" t="inlineStr">
        <is>
          <t>24065969</t>
        </is>
      </c>
      <c r="AY1051" t="inlineStr">
        <is>
          <t>991000560769702656</t>
        </is>
      </c>
      <c r="AZ1051" t="inlineStr">
        <is>
          <t>991000560769702656</t>
        </is>
      </c>
      <c r="BA1051" t="inlineStr">
        <is>
          <t>2264076540002656</t>
        </is>
      </c>
      <c r="BB1051" t="inlineStr">
        <is>
          <t>BOOK</t>
        </is>
      </c>
      <c r="BD1051" t="inlineStr">
        <is>
          <t>9780300051742</t>
        </is>
      </c>
      <c r="BE1051" t="inlineStr">
        <is>
          <t>30001002672584</t>
        </is>
      </c>
      <c r="BF1051" t="inlineStr">
        <is>
          <t>893130920</t>
        </is>
      </c>
    </row>
    <row r="1052">
      <c r="A1052" t="inlineStr">
        <is>
          <t>No</t>
        </is>
      </c>
      <c r="B1052" t="inlineStr">
        <is>
          <t>CUHSL</t>
        </is>
      </c>
      <c r="C1052" t="inlineStr">
        <is>
          <t>SHELVES</t>
        </is>
      </c>
      <c r="D1052" t="inlineStr">
        <is>
          <t>ZW 50 B615 1977</t>
        </is>
      </c>
      <c r="E1052" t="inlineStr">
        <is>
          <t>0Z                     W  0050000B  615         1977</t>
        </is>
      </c>
      <c r="F1052" t="inlineStr">
        <is>
          <t>A Bioethical perspective on death and dying : summaries of the literature.</t>
        </is>
      </c>
      <c r="H1052" t="inlineStr">
        <is>
          <t>No</t>
        </is>
      </c>
      <c r="I1052" t="inlineStr">
        <is>
          <t>1</t>
        </is>
      </c>
      <c r="J1052" t="inlineStr">
        <is>
          <t>No</t>
        </is>
      </c>
      <c r="K1052" t="inlineStr">
        <is>
          <t>No</t>
        </is>
      </c>
      <c r="L1052" t="inlineStr">
        <is>
          <t>0</t>
        </is>
      </c>
      <c r="N1052" t="inlineStr">
        <is>
          <t>-- Rockville, Md. : Information Planning Associates, 1977.</t>
        </is>
      </c>
      <c r="O1052" t="inlineStr">
        <is>
          <t>1977</t>
        </is>
      </c>
      <c r="Q1052" t="inlineStr">
        <is>
          <t>eng</t>
        </is>
      </c>
      <c r="R1052" t="inlineStr">
        <is>
          <t>mdu</t>
        </is>
      </c>
      <c r="T1052" t="inlineStr">
        <is>
          <t xml:space="preserve">W  </t>
        </is>
      </c>
      <c r="U1052" t="n">
        <v>1</v>
      </c>
      <c r="V1052" t="n">
        <v>1</v>
      </c>
      <c r="W1052" t="inlineStr">
        <is>
          <t>1990-03-10</t>
        </is>
      </c>
      <c r="X1052" t="inlineStr">
        <is>
          <t>1990-03-10</t>
        </is>
      </c>
      <c r="Y1052" t="inlineStr">
        <is>
          <t>1989-07-19</t>
        </is>
      </c>
      <c r="Z1052" t="inlineStr">
        <is>
          <t>1989-07-19</t>
        </is>
      </c>
      <c r="AA1052" t="n">
        <v>101</v>
      </c>
      <c r="AB1052" t="n">
        <v>90</v>
      </c>
      <c r="AC1052" t="n">
        <v>90</v>
      </c>
      <c r="AD1052" t="n">
        <v>1</v>
      </c>
      <c r="AE1052" t="n">
        <v>1</v>
      </c>
      <c r="AF1052" t="n">
        <v>6</v>
      </c>
      <c r="AG1052" t="n">
        <v>6</v>
      </c>
      <c r="AH1052" t="n">
        <v>1</v>
      </c>
      <c r="AI1052" t="n">
        <v>1</v>
      </c>
      <c r="AJ1052" t="n">
        <v>2</v>
      </c>
      <c r="AK1052" t="n">
        <v>2</v>
      </c>
      <c r="AL1052" t="n">
        <v>6</v>
      </c>
      <c r="AM1052" t="n">
        <v>6</v>
      </c>
      <c r="AN1052" t="n">
        <v>0</v>
      </c>
      <c r="AO1052" t="n">
        <v>0</v>
      </c>
      <c r="AP1052" t="n">
        <v>0</v>
      </c>
      <c r="AQ1052" t="n">
        <v>0</v>
      </c>
      <c r="AR1052" t="inlineStr">
        <is>
          <t>No</t>
        </is>
      </c>
      <c r="AS1052" t="inlineStr">
        <is>
          <t>No</t>
        </is>
      </c>
      <c r="AU1052">
        <f>HYPERLINK("https://creighton-primo.hosted.exlibrisgroup.com/primo-explore/search?tab=default_tab&amp;search_scope=EVERYTHING&amp;vid=01CRU&amp;lang=en_US&amp;offset=0&amp;query=any,contains,991001083019702656","Catalog Record")</f>
        <v/>
      </c>
      <c r="AV1052">
        <f>HYPERLINK("http://www.worldcat.org/oclc/3369658","WorldCat Record")</f>
        <v/>
      </c>
      <c r="AW1052" t="inlineStr">
        <is>
          <t>1781130121:eng</t>
        </is>
      </c>
      <c r="AX1052" t="inlineStr">
        <is>
          <t>3369658</t>
        </is>
      </c>
      <c r="AY1052" t="inlineStr">
        <is>
          <t>991001083019702656</t>
        </is>
      </c>
      <c r="AZ1052" t="inlineStr">
        <is>
          <t>991001083019702656</t>
        </is>
      </c>
      <c r="BA1052" t="inlineStr">
        <is>
          <t>2260336790002656</t>
        </is>
      </c>
      <c r="BB1052" t="inlineStr">
        <is>
          <t>BOOK</t>
        </is>
      </c>
      <c r="BE1052" t="inlineStr">
        <is>
          <t>30001000257859</t>
        </is>
      </c>
      <c r="BF1052" t="inlineStr">
        <is>
          <t>893134230</t>
        </is>
      </c>
    </row>
    <row r="1053">
      <c r="A1053" t="inlineStr">
        <is>
          <t>No</t>
        </is>
      </c>
      <c r="B1053" t="inlineStr">
        <is>
          <t>CUHSL</t>
        </is>
      </c>
      <c r="C1053" t="inlineStr">
        <is>
          <t>SHELVES</t>
        </is>
      </c>
      <c r="D1053" t="inlineStr">
        <is>
          <t>ZW 84 AA1 H16a 1997</t>
        </is>
      </c>
      <c r="E1053" t="inlineStr">
        <is>
          <t>0Z                     W  0084000AA 1                  H  16a         1997</t>
        </is>
      </c>
      <c r="F1053" t="inlineStr">
        <is>
          <t>American health care in transition : a guide to the literature / compiled by Barbara A. Haley and Brian Deevey.</t>
        </is>
      </c>
      <c r="H1053" t="inlineStr">
        <is>
          <t>No</t>
        </is>
      </c>
      <c r="I1053" t="inlineStr">
        <is>
          <t>1</t>
        </is>
      </c>
      <c r="J1053" t="inlineStr">
        <is>
          <t>No</t>
        </is>
      </c>
      <c r="K1053" t="inlineStr">
        <is>
          <t>No</t>
        </is>
      </c>
      <c r="L1053" t="inlineStr">
        <is>
          <t>0</t>
        </is>
      </c>
      <c r="M1053" t="inlineStr">
        <is>
          <t>Haley, Barbara A.</t>
        </is>
      </c>
      <c r="N1053" t="inlineStr">
        <is>
          <t>Westport, CT : Greenwood Press, 1997.</t>
        </is>
      </c>
      <c r="O1053" t="inlineStr">
        <is>
          <t>1997</t>
        </is>
      </c>
      <c r="Q1053" t="inlineStr">
        <is>
          <t>eng</t>
        </is>
      </c>
      <c r="R1053" t="inlineStr">
        <is>
          <t>ctu</t>
        </is>
      </c>
      <c r="S1053" t="inlineStr">
        <is>
          <t>Bibliographies and indexes in medical studies, 0896-6591 ; no. 14</t>
        </is>
      </c>
      <c r="T1053" t="inlineStr">
        <is>
          <t xml:space="preserve">W  </t>
        </is>
      </c>
      <c r="U1053" t="n">
        <v>1</v>
      </c>
      <c r="V1053" t="n">
        <v>1</v>
      </c>
      <c r="W1053" t="inlineStr">
        <is>
          <t>2003-10-28</t>
        </is>
      </c>
      <c r="X1053" t="inlineStr">
        <is>
          <t>2003-10-28</t>
        </is>
      </c>
      <c r="Y1053" t="inlineStr">
        <is>
          <t>2003-10-17</t>
        </is>
      </c>
      <c r="Z1053" t="inlineStr">
        <is>
          <t>2003-10-17</t>
        </is>
      </c>
      <c r="AA1053" t="n">
        <v>157</v>
      </c>
      <c r="AB1053" t="n">
        <v>139</v>
      </c>
      <c r="AC1053" t="n">
        <v>139</v>
      </c>
      <c r="AD1053" t="n">
        <v>2</v>
      </c>
      <c r="AE1053" t="n">
        <v>2</v>
      </c>
      <c r="AF1053" t="n">
        <v>7</v>
      </c>
      <c r="AG1053" t="n">
        <v>7</v>
      </c>
      <c r="AH1053" t="n">
        <v>1</v>
      </c>
      <c r="AI1053" t="n">
        <v>1</v>
      </c>
      <c r="AJ1053" t="n">
        <v>1</v>
      </c>
      <c r="AK1053" t="n">
        <v>1</v>
      </c>
      <c r="AL1053" t="n">
        <v>5</v>
      </c>
      <c r="AM1053" t="n">
        <v>5</v>
      </c>
      <c r="AN1053" t="n">
        <v>1</v>
      </c>
      <c r="AO1053" t="n">
        <v>1</v>
      </c>
      <c r="AP1053" t="n">
        <v>0</v>
      </c>
      <c r="AQ1053" t="n">
        <v>0</v>
      </c>
      <c r="AR1053" t="inlineStr">
        <is>
          <t>No</t>
        </is>
      </c>
      <c r="AS1053" t="inlineStr">
        <is>
          <t>No</t>
        </is>
      </c>
      <c r="AU1053">
        <f>HYPERLINK("https://creighton-primo.hosted.exlibrisgroup.com/primo-explore/search?tab=default_tab&amp;search_scope=EVERYTHING&amp;vid=01CRU&amp;lang=en_US&amp;offset=0&amp;query=any,contains,991000358869702656","Catalog Record")</f>
        <v/>
      </c>
      <c r="AV1053">
        <f>HYPERLINK("http://www.worldcat.org/oclc/36252897","WorldCat Record")</f>
        <v/>
      </c>
      <c r="AW1053" t="inlineStr">
        <is>
          <t>435447684:eng</t>
        </is>
      </c>
      <c r="AX1053" t="inlineStr">
        <is>
          <t>36252897</t>
        </is>
      </c>
      <c r="AY1053" t="inlineStr">
        <is>
          <t>991000358869702656</t>
        </is>
      </c>
      <c r="AZ1053" t="inlineStr">
        <is>
          <t>991000358869702656</t>
        </is>
      </c>
      <c r="BA1053" t="inlineStr">
        <is>
          <t>2261764960002656</t>
        </is>
      </c>
      <c r="BB1053" t="inlineStr">
        <is>
          <t>BOOK</t>
        </is>
      </c>
      <c r="BD1053" t="inlineStr">
        <is>
          <t>9780313273230</t>
        </is>
      </c>
      <c r="BE1053" t="inlineStr">
        <is>
          <t>30001004218196</t>
        </is>
      </c>
      <c r="BF1053" t="inlineStr">
        <is>
          <t>893264176</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